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ll Sessions" sheetId="1" r:id="rId3"/>
    <sheet state="visible" name="Videos" sheetId="2" r:id="rId4"/>
    <sheet state="visible" name="Past Classes" sheetId="3" r:id="rId5"/>
    <sheet state="hidden" name="GC Only" sheetId="4" r:id="rId6"/>
    <sheet state="hidden" name="SPOC Meetups" sheetId="5" r:id="rId7"/>
    <sheet state="hidden" name="Completed Classes" sheetId="6" r:id="rId8"/>
    <sheet state="hidden" name="Digital Accessibility" sheetId="7" r:id="rId9"/>
    <sheet state="hidden" name="General" sheetId="8" r:id="rId10"/>
    <sheet state="hidden" name="Digital Citizenship" sheetId="9" r:id="rId11"/>
    <sheet state="hidden" name="SY 17-18" sheetId="10" r:id="rId12"/>
    <sheet state="hidden" name="Google + MS + CS DEPL Classes" sheetId="11" r:id="rId13"/>
    <sheet state="hidden" name="Past 15-16" sheetId="12" r:id="rId14"/>
    <sheet state="hidden" name="Certification Programs" sheetId="13" r:id="rId15"/>
    <sheet state="hidden" name="Previous SY 18-19" sheetId="14" r:id="rId16"/>
    <sheet state="hidden" name="SY 16-17" sheetId="15" r:id="rId17"/>
    <sheet state="hidden" name="Past SY19-20" sheetId="16" r:id="rId18"/>
    <sheet state="hidden" name="Past SY 18-19" sheetId="17" r:id="rId19"/>
    <sheet state="hidden" name="Trash" sheetId="18" r:id="rId20"/>
  </sheets>
  <definedNames>
    <definedName hidden="1" localSheetId="11" name="_xlnm._FilterDatabase">'Past 15-16'!$A$1:$G$93</definedName>
    <definedName hidden="1" localSheetId="5" name="_xlnm._FilterDatabase">'Completed Classes'!$E$1:$O$98</definedName>
    <definedName hidden="1" localSheetId="6" name="Z_1E644146_47CD_4DDF_95CB_6C62E2CF7EBB_.wvu.FilterData">'Digital Accessibility'!$E$1:$P$3</definedName>
    <definedName hidden="1" localSheetId="17" name="Z_1E644146_47CD_4DDF_95CB_6C62E2CF7EBB_.wvu.FilterData">Trash!$E$1:$P$29</definedName>
    <definedName hidden="1" localSheetId="6" name="Z_16D382A3_5D5E_4D74_BAF3_BD542623D867_.wvu.FilterData">'Digital Accessibility'!$E$1:$P$26</definedName>
    <definedName hidden="1" localSheetId="17" name="Z_16D382A3_5D5E_4D74_BAF3_BD542623D867_.wvu.FilterData">Trash!$E$1:$P$57</definedName>
  </definedNames>
  <calcPr/>
  <customWorkbookViews>
    <customWorkbookView activeSheetId="0" maximized="1" tabRatio="600" windowHeight="0" windowWidth="0" guid="{16D382A3-5D5E-4D74-BAF3-BD542623D867}" name="Filter 1"/>
    <customWorkbookView activeSheetId="0" maximized="1" tabRatio="600" windowHeight="0" windowWidth="0" guid="{1E644146-47CD-4DDF-95CB-6C62E2CF7EBB}" name="Digital"/>
  </customWorkbookViews>
</workbook>
</file>

<file path=xl/sharedStrings.xml><?xml version="1.0" encoding="utf-8"?>
<sst xmlns="http://schemas.openxmlformats.org/spreadsheetml/2006/main" count="7031" uniqueCount="1680">
  <si>
    <t>Timestamp</t>
  </si>
  <si>
    <t>Video</t>
  </si>
  <si>
    <t>Your First Name</t>
  </si>
  <si>
    <t>Description</t>
  </si>
  <si>
    <t>Your Last Name</t>
  </si>
  <si>
    <t>Resources</t>
  </si>
  <si>
    <t>Your Email</t>
  </si>
  <si>
    <t>Additional Resources</t>
  </si>
  <si>
    <t>Contact Name</t>
  </si>
  <si>
    <t>Date</t>
  </si>
  <si>
    <t xml:space="preserve">BrainPop </t>
  </si>
  <si>
    <t>Workshop Focus</t>
  </si>
  <si>
    <t>Registration Link (Optional)</t>
  </si>
  <si>
    <t>Time</t>
  </si>
  <si>
    <t>Workshop Join Link or Recorded Video</t>
  </si>
  <si>
    <t>Workshop Join Link</t>
  </si>
  <si>
    <t>Host Partner or Office</t>
  </si>
  <si>
    <t>NYCDOE</t>
  </si>
  <si>
    <t>Agenda Link</t>
  </si>
  <si>
    <t>Attendance</t>
  </si>
  <si>
    <t>Brief Description of this session.</t>
  </si>
  <si>
    <t xml:space="preserve">Learn to leverage BrainPOP”s resources to make assignments, build assessments, and manage student learning remotely. </t>
  </si>
  <si>
    <t>CTLE Credit</t>
  </si>
  <si>
    <t>Topic 1</t>
  </si>
  <si>
    <t>Topic 2</t>
  </si>
  <si>
    <t>Andrew Gardner</t>
  </si>
  <si>
    <t>WEEK OF 3/15</t>
  </si>
  <si>
    <t>Common Sense Education</t>
  </si>
  <si>
    <t>How do we help ensure our students are responsible digital citizens when learning remotely?</t>
  </si>
  <si>
    <t>https://www.commonsense.org/education/coronavirus-resources</t>
  </si>
  <si>
    <t>Week so far:</t>
  </si>
  <si>
    <t>Attendance 3-26</t>
  </si>
  <si>
    <t>Tali Horowitz, Barbara Huth, Sue Thotz</t>
  </si>
  <si>
    <t>EdPuzzle Talks: Remote Teaching</t>
  </si>
  <si>
    <t>Tue</t>
  </si>
  <si>
    <t>Easily create beautiful interactive video lessons for your students you can integrate right into your LMS. Track students' progress with Edpuzzle's hassle-free analytics as you flip your classroom!</t>
  </si>
  <si>
    <t>THU</t>
  </si>
  <si>
    <t xml:space="preserve">EverFi </t>
  </si>
  <si>
    <t>Open Office Hours</t>
  </si>
  <si>
    <t>Digital lessons to prepare your students with the skills needed for life like— career exploration, character development, social emotional learning, STEM, and financial readiness..</t>
  </si>
  <si>
    <t xml:space="preserve">Microsoft Teams for Staff /Central Admin
</t>
  </si>
  <si>
    <t>Chloe Sanducci</t>
  </si>
  <si>
    <t>Video tutorials, resources, tips and tricks on how to get started with Google Classroom.</t>
  </si>
  <si>
    <t>9:00 am- 9:30 am</t>
  </si>
  <si>
    <t>Video of the live demo with an overview of how to create a Google Classroom</t>
  </si>
  <si>
    <t>10:00 am- 11:00 am</t>
  </si>
  <si>
    <t>Digital Inclusion</t>
  </si>
  <si>
    <t>Launch to determine interest in staff in having connection and support. Answered questions. Discussed current work.</t>
  </si>
  <si>
    <t xml:space="preserve">Jaclyn Patanio 
  </t>
  </si>
  <si>
    <t>Google</t>
  </si>
  <si>
    <t>G Suite: Teach from Home</t>
  </si>
  <si>
    <t>12:00 pm-1:00 pm</t>
  </si>
  <si>
    <t>Microsoft</t>
  </si>
  <si>
    <t>Tara Carrozza</t>
  </si>
  <si>
    <t>Join a Microsoft Team to learn the basics of staff/student collaboration inside of Teams. Intro level</t>
  </si>
  <si>
    <t>Microsoft Teams</t>
  </si>
  <si>
    <t>Google: Andrew Liebowitz</t>
  </si>
  <si>
    <t>Using G Suite to facilitate and enhance distance learning</t>
  </si>
  <si>
    <t>Microsoft Teams (School Leaders/Teachers)</t>
  </si>
  <si>
    <t>2:00 pm- 3:00 pm</t>
  </si>
  <si>
    <t>Laura Benin</t>
  </si>
  <si>
    <t>Join a Microsoft Team to learn the basics of staff/student collaboration inside of Teams. For School Leaders</t>
  </si>
  <si>
    <t>Microsoft: Dominic Williamson</t>
  </si>
  <si>
    <t>Staff collaboration with free tools from Microsoft Education</t>
  </si>
  <si>
    <t>Andrew Liebowitz</t>
  </si>
  <si>
    <t>D75 Q&amp;A</t>
  </si>
  <si>
    <t>9:00 am - 9:30 am</t>
  </si>
  <si>
    <t>NYC DOE School Library System</t>
  </si>
  <si>
    <t>3:00 pm- 4:00 pm</t>
  </si>
  <si>
    <t>Join Team Meeting</t>
  </si>
  <si>
    <t>Sean Arnold from District 75 will help you learn how to do remote learning for students with disabilities.</t>
  </si>
  <si>
    <t>Sean Arnold</t>
  </si>
  <si>
    <t>Microsoft - Remote Learning</t>
  </si>
  <si>
    <t>https://www.microsoft.com/en-us/education/remote-learning</t>
  </si>
  <si>
    <t>DOE Library Services: Michael Dodes</t>
  </si>
  <si>
    <t>There are a million free resources available right now.  Come learn how to curate the right resources for your parents, teachers and students from a selection that is CONSTANTLY available.  Includes free professional ebooks on teaching and learning with distance learning.</t>
  </si>
  <si>
    <t>WNET / PBS</t>
  </si>
  <si>
    <t>4:00 pm- 5:00 pm</t>
  </si>
  <si>
    <t>Dominic Williamson, Mike Tholfsen</t>
  </si>
  <si>
    <t>Microsoft Accessibility and Inclusive Classrooms</t>
  </si>
  <si>
    <t>D75 STEM Team</t>
  </si>
  <si>
    <t>WNET Sandy Goldberg</t>
  </si>
  <si>
    <t>WNET and PBS: A Resource for Distance Learning</t>
  </si>
  <si>
    <t>Microsoft Education: Accessibility and Inclusive Classrooms</t>
  </si>
  <si>
    <t>https://aka.ms/InclusiveDeck</t>
  </si>
  <si>
    <t>Teq/SMART</t>
  </si>
  <si>
    <t>5:00 pm- 6:00 pm</t>
  </si>
  <si>
    <t>Mike Tholfsen (michtho@microsoft.com)</t>
  </si>
  <si>
    <t>Newsela</t>
  </si>
  <si>
    <t>Newsela can help keep learning happening from a distance. You don’t have to choose between engaging content and delivering standards-aligned instruction. Every teacher should have accessible, standards-aligned content that excites at their fingertips so they can focus on what matters - inspiring a love of learning for life.</t>
  </si>
  <si>
    <t>learn.newsela.com</t>
  </si>
  <si>
    <t>Teq Joseph Sanfilippo</t>
  </si>
  <si>
    <t>SMART Learning Suite Online for Home Instruction. Learn how to use SLS Online to provide activities for students during remote instruction. SLS Online is free for all teachers to use and integrates with G-Suite for Education and Microsoft platforms. Participants will leave understanding how to create activities and provide to students to complete in a self paced environment while collecting student evidence.</t>
  </si>
  <si>
    <t>Brain POP</t>
  </si>
  <si>
    <t>Anytime (On Demand)</t>
  </si>
  <si>
    <t>Brain POP Andrew Gardner</t>
  </si>
  <si>
    <t>In this webinar, we demonstrate how to leverage BrainPOP”s resources to make assignments, build assessments, and manage student learning remotely. We outline integrations with various Learning Management Systems, such as Google Classroom and Canvas, providing suggestions for both synchronous and asynchronous approaches to online learning. Recognizing not all students have access to technology at home, we provide guidance for developing equitable lessons that are effective whether completed on or offline.</t>
  </si>
  <si>
    <t>Wed</t>
  </si>
  <si>
    <t>11:00 am- 12:00 pm</t>
  </si>
  <si>
    <t>Get your questions answered by District 75 staff.</t>
  </si>
  <si>
    <t>D75</t>
  </si>
  <si>
    <t>Joseph Sanfilippo</t>
  </si>
  <si>
    <t>Making Home Learning Accessible</t>
  </si>
  <si>
    <t>Discovery Education</t>
  </si>
  <si>
    <t>10:00 am- 3:00 pm</t>
  </si>
  <si>
    <t>12:00 pm- 1:00 pm</t>
  </si>
  <si>
    <t>Sign up for ongoing PearDeck webinars</t>
  </si>
  <si>
    <t>https://www.peardeck.com/</t>
  </si>
  <si>
    <t>Join the ​Discovery Educator Network Community​ for 2 days of professional learning &amp; instructional inspiration- ‬Thursday, March 26 &amp; Friday, March 27 10 AM EST- 3PM EST.</t>
  </si>
  <si>
    <t>Remote Learning Overview &amp; Accessible Creation</t>
  </si>
  <si>
    <t xml:space="preserve">Newsela </t>
  </si>
  <si>
    <t>Flipgrid PD Remote Learning</t>
  </si>
  <si>
    <t>1:00 pm- 2:00pm</t>
  </si>
  <si>
    <t>10:00 am - 10:30 am</t>
  </si>
  <si>
    <t xml:space="preserve">Distance Learning &amp; Getting Started </t>
  </si>
  <si>
    <t>Thu</t>
  </si>
  <si>
    <t>DIIT</t>
  </si>
  <si>
    <t>Basic Q&amp;A</t>
  </si>
  <si>
    <t>The Rapid Transition to Online learning (RTOL) course provides an emergency roadmap for a rapid transition to online learning during forced school closures. In this short program, we will walk you through a simple step-by-step guide to maintain your continuity of teaching and learning in a crisis.</t>
  </si>
  <si>
    <t>Flipgrid</t>
  </si>
  <si>
    <t>Microsoft Education</t>
  </si>
  <si>
    <t>11:00 am- 12:00pm</t>
  </si>
  <si>
    <t>Accessibility and Inclusive Classrooms</t>
  </si>
  <si>
    <t>Common Sense</t>
  </si>
  <si>
    <t>1:00 pm- 2:00 pm</t>
  </si>
  <si>
    <t>Google Classroom</t>
  </si>
  <si>
    <t>Join Microsoft Teams Meeting</t>
  </si>
  <si>
    <t>School Library Services</t>
  </si>
  <si>
    <t>Everfi</t>
  </si>
  <si>
    <t>Digital lessons to prepare your students with the skills needed for life — skills like career exploration, character development, social emotional learning, STEM, and financial readiness. Teachers receive real-time reports on student growth.</t>
  </si>
  <si>
    <t>Fri</t>
  </si>
  <si>
    <t>There are a million free resources available right now. Come learn how to curate the right resources for your parents, teachers and students from a selection that is CONSTANTLY available. Includes free professional ebooks on teaching and learning with distance learning.</t>
  </si>
  <si>
    <t>https://www.galepages.com/nycdoe11</t>
  </si>
  <si>
    <t>Google Classroom Basics</t>
  </si>
  <si>
    <t>8:00 am- 9:00 am</t>
  </si>
  <si>
    <t>SI Borough Office</t>
  </si>
  <si>
    <t>http://nycdoe.libguides.com/home</t>
  </si>
  <si>
    <t>Mouse (TB)</t>
  </si>
  <si>
    <t>This will be a session best practices in your Google Classroom, mainting structures, the connection with Google Drive, &amp; creating on the classwork section.</t>
  </si>
  <si>
    <t>Anthony Casasnovas, JoJo Farrell &amp; Jose Perez; Eileen Marks</t>
  </si>
  <si>
    <t>Microsoft Teams Basics</t>
  </si>
  <si>
    <t>8:30 am- 9:00 am</t>
  </si>
  <si>
    <t>Play to learn across platforms, subjects, and skills.</t>
  </si>
  <si>
    <t>Michael Dodes</t>
  </si>
  <si>
    <t xml:space="preserve">SMART/Teq </t>
  </si>
  <si>
    <t>D75 STEM</t>
  </si>
  <si>
    <t>Learn how to use Smart Learning Suite (SLS) Online to provide activities for students during remote instruction. SLS Online is free and integrates with G-Suite for Education and Microsoft. Participants will leave understanding how to create activities and provide them to students to complete in a self paced environment while collecting student evidence.</t>
  </si>
  <si>
    <t>D75 Google Docs &amp; Drive - Deep Dive</t>
  </si>
  <si>
    <t>Join a Microsoft Team to learn the basics of staff/student communication/collaboration inside of Teams with a focus on special education</t>
  </si>
  <si>
    <t>10:00 am - 11:00 am</t>
  </si>
  <si>
    <t xml:space="preserve">Microsoft Teams for Remote Staff Collaboration
</t>
  </si>
  <si>
    <t>Joseph Sanfilippo josephsanfilippo@teq.com</t>
  </si>
  <si>
    <t xml:space="preserve">Tequipment </t>
  </si>
  <si>
    <t>Teq has provided all of their, over 800 CTLE approved courses, Online Professional Development videos and on-Demand support for free. Use the link on the right to connect with them and overview resources. Individual Teachers can sign up and building admins can request full access with assistance to deploy to their teachers.</t>
  </si>
  <si>
    <t>teq.com/remote-learning</t>
  </si>
  <si>
    <t>WNET &amp; PBS</t>
  </si>
  <si>
    <t>Possible PD for your school</t>
  </si>
  <si>
    <t>Learn about the ways to meaningfully use Docs &amp; Drive with added focus on accessibility.</t>
  </si>
  <si>
    <t xml:space="preserve">Google </t>
  </si>
  <si>
    <t xml:space="preserve">Assigning &amp; Grading work in Classroom Teams </t>
  </si>
  <si>
    <t>11:00 am - 12:00 pm</t>
  </si>
  <si>
    <t>Teams for School Leaders/Teachers: Remote Instruction</t>
  </si>
  <si>
    <t>Sandy Goldberg</t>
  </si>
  <si>
    <t>Learn how Flipgrid works, discover how to create your free Flipgrid account and start collecting videos from your students. You’ll also learn about the latest updates, tips, and opportunities and have time to ask questions.</t>
  </si>
  <si>
    <t>Christina Basias</t>
  </si>
  <si>
    <t>Learn how to assign and grade work, or offer student feedback, in Microsoft Teams (School Leaders, Teachers, Related Service)</t>
  </si>
  <si>
    <t>Teams Tools for Related Service Providers</t>
  </si>
  <si>
    <t>11:30 am - 12:30 pm</t>
  </si>
  <si>
    <t>Looking for advice on teaching with technology? Have questions about how to implement digital citizenship in your school? Join Common Sense's free professional learning community on edWeb to participate in lively discussions and engaging webinars.</t>
  </si>
  <si>
    <t>District 75 Remote Learning Q&amp;A</t>
  </si>
  <si>
    <t>9:00 am- 9:45 am</t>
  </si>
  <si>
    <t>District 75 specialists gather to answer your pressing remote learning questions.</t>
  </si>
  <si>
    <t>Project Recess (Santi Khairassame)</t>
  </si>
  <si>
    <t>Anthony Casasnovas &amp; JoJo Farrell &amp; Jose Perez</t>
  </si>
  <si>
    <t>10:00am- 11:00am</t>
  </si>
  <si>
    <t>Math Games for Remote Learning</t>
  </si>
  <si>
    <t>12:30 pm - 1:30 pm</t>
  </si>
  <si>
    <t>Greg Heath</t>
  </si>
  <si>
    <t>BK North Borough Office</t>
  </si>
  <si>
    <t>Explore math tools, games, &amp; manipulatives for remote learning.</t>
  </si>
  <si>
    <t>Math</t>
  </si>
  <si>
    <t>Teaching Matters DOE-Aligned Materials for ELL / MLL</t>
  </si>
  <si>
    <t>1:00 pm - 2:00 pm</t>
  </si>
  <si>
    <t>Google for Special Education &amp; the Rest of Y'all</t>
  </si>
  <si>
    <t>Teaching Matters</t>
  </si>
  <si>
    <t>Anthony Casasnovas</t>
  </si>
  <si>
    <t>This webinar will focus on how to adapt our material to support remote learning for English Language/Multilingual Learners</t>
  </si>
  <si>
    <t>ELL / MLL</t>
  </si>
  <si>
    <t>1:00 pm- 1:30 pm</t>
  </si>
  <si>
    <t>MSFT Agenda</t>
  </si>
  <si>
    <t>Join Sean Arnold for a dive into G Suite with a focus on special education including related services.</t>
  </si>
  <si>
    <t>Smart Notebook Online Tools</t>
  </si>
  <si>
    <t>11:00 am- 12:00 am</t>
  </si>
  <si>
    <t>Join SMART Interactives</t>
  </si>
  <si>
    <t>See how you can engage in accessible remote learning games with students.</t>
  </si>
  <si>
    <t>11:30am - 12:30pm</t>
  </si>
  <si>
    <t>Teams for Remote Learning (School Leaders/Teachers)</t>
  </si>
  <si>
    <t>Gina Tesoriero</t>
  </si>
  <si>
    <t>Zoom Overview for D75 Teachers</t>
  </si>
  <si>
    <t>Join Zoom Session</t>
  </si>
  <si>
    <t>Date of Session</t>
  </si>
  <si>
    <t>Event Name</t>
  </si>
  <si>
    <t>Registration Link</t>
  </si>
  <si>
    <t>Location</t>
  </si>
  <si>
    <t>Time i.e. 8:30am-3:30pm</t>
  </si>
  <si>
    <t>Host</t>
  </si>
  <si>
    <t>Audience</t>
  </si>
  <si>
    <t>Agenda or Event Link</t>
  </si>
  <si>
    <t xml:space="preserve">Brief Description of this session. </t>
  </si>
  <si>
    <t>Topic</t>
  </si>
  <si>
    <t>Charles Bender</t>
  </si>
  <si>
    <t>SPOC / CUNY</t>
  </si>
  <si>
    <t>Use Zoom to video connect live with your students. Share whiteboard and files</t>
  </si>
  <si>
    <t>Microsoft's Minecraft: Education Edition</t>
  </si>
  <si>
    <t>1:30 pm - 2:00 pm</t>
  </si>
  <si>
    <t>SPOC Meet-up Queens
JAMF L2 - advanced instruction for JAMF Schools</t>
  </si>
  <si>
    <t>Join Zoom Meeting</t>
  </si>
  <si>
    <r>
      <rPr>
        <b/>
        <color rgb="FFFF0000"/>
      </rPr>
      <t xml:space="preserve">Remote PD
</t>
    </r>
    <r>
      <t>via Microsoft Teams</t>
    </r>
  </si>
  <si>
    <t xml:space="preserve">9:00 a.m. - 1:00 p.m. </t>
  </si>
  <si>
    <t>SPOCs / CUNY Interns</t>
  </si>
  <si>
    <t>1:00 pm-2:00 pm</t>
  </si>
  <si>
    <t>Yes</t>
  </si>
  <si>
    <t>You are invited to our Borough Field Office for a SPOC Meet-up. At this “Meet-Up” we will be: Meeting and greeting each other, sharing successes and failures, provided updates on all new DIIT technology rollouts and near future projects, given a “Imaging Corner” demo and getting your questions answered.</t>
  </si>
  <si>
    <t>SPOC Meet-up (Brooklyn)</t>
  </si>
  <si>
    <t>CANCELLED</t>
  </si>
  <si>
    <t>131 Livingston Street
Brooklyn, NY 1120
Room 508b</t>
  </si>
  <si>
    <t xml:space="preserve">9:00 a.m. - 3:00 p.m. </t>
  </si>
  <si>
    <t>Zoom</t>
  </si>
  <si>
    <t>Connect, communicate, and share live with Zoom.</t>
  </si>
  <si>
    <t>1:00pm - 2:00pm</t>
  </si>
  <si>
    <t>SPOC Meet-up Bronx
(TBD Focused)</t>
  </si>
  <si>
    <t>Microsoft Minecraft</t>
  </si>
  <si>
    <t>1 Fordham Plaza,
Room 820
Bronx, NY 10458</t>
  </si>
  <si>
    <t>Empowering Student Engagement with Flipgrid</t>
  </si>
  <si>
    <t>2:00 pm - 3:00 pm</t>
  </si>
  <si>
    <t>SPOC Meet-up
Staten Island</t>
  </si>
  <si>
    <t>2:00 pm- 2:30 pm</t>
  </si>
  <si>
    <t xml:space="preserve">715 Ocean Terrace 
Staten Island, NY 10301 
Building H –Room 100 
 </t>
  </si>
  <si>
    <t>You are invited to our Borough Field Office for a SPOC Meet-up. At this “Meet-Up” we will be: Meeting and greeting each other, sharing successes and failures, provided updates on all new DIIT technology rollouts and near future projects, given demos and getting your questions answered.</t>
  </si>
  <si>
    <t>Empower student voices, asynchronous learning, student creation, problem solving, and accessible learning through Flipgrid.</t>
  </si>
  <si>
    <t>Chrome Extensions to enhance Remote Learning</t>
  </si>
  <si>
    <t>SPOC Meet-up Queens
(Office 365 focus)</t>
  </si>
  <si>
    <t>2:30 pm-3:30 pm</t>
  </si>
  <si>
    <t>28-11 Queens Plaza North
LIC, NY 11101
4th Floor Computer Lab</t>
  </si>
  <si>
    <t xml:space="preserve">Discover the Chrome extensions you need to make remote learning successful. </t>
  </si>
  <si>
    <t>Remote Teaching Office Hours</t>
  </si>
  <si>
    <t>2:00 - 3:00pm</t>
  </si>
  <si>
    <t>Mouse (Patrick Weaver)</t>
  </si>
  <si>
    <t>Jackie Patanio, Anthony Casasnovas, Jose Perez</t>
  </si>
  <si>
    <t>131 Livingston Street
Brooklyn, NY 1120
Room 504</t>
  </si>
  <si>
    <t>3:00 pm - 3:30 pm</t>
  </si>
  <si>
    <t>131 Livingston Street
Brooklyn, NY 1120
Room 208A</t>
  </si>
  <si>
    <t>Specialists gather to answer your pressing remote learning questions.</t>
  </si>
  <si>
    <t>SPOC Meet-up Queens
(G Suite focus)</t>
  </si>
  <si>
    <t>Linden Place
30-48 Linden Place 
Queens NY 11354
Room 407</t>
  </si>
  <si>
    <t>Google Drive and Docs for Classroom</t>
  </si>
  <si>
    <t>4:00 pm - 5:00 pm</t>
  </si>
  <si>
    <t>Mouse (Alex Fleming)</t>
  </si>
  <si>
    <t>Anthony Casasnovas, Gina Tesoriero, Jose Perez</t>
  </si>
  <si>
    <t>Shifting Schools to Remote Learning</t>
  </si>
  <si>
    <t>6:00 pm - 6:30 pm</t>
  </si>
  <si>
    <t>Remote Learning</t>
  </si>
  <si>
    <t>3:30 pm- 4:30 pm</t>
  </si>
  <si>
    <t>Attendance 3/27:</t>
  </si>
  <si>
    <t>Ed Tech Team</t>
  </si>
  <si>
    <t>FRI</t>
  </si>
  <si>
    <t>;</t>
  </si>
  <si>
    <t>WEEK OF 3/23 - 3/27</t>
  </si>
  <si>
    <t>Attended 3/23</t>
  </si>
  <si>
    <t>Join Link</t>
  </si>
  <si>
    <t>MON</t>
  </si>
  <si>
    <t xml:space="preserve">Microsoft Teams Beginner - Central DOE Admin
</t>
  </si>
  <si>
    <t>Microsoft (Adam Halpern)</t>
  </si>
  <si>
    <t xml:space="preserve"> Laura Benin</t>
  </si>
  <si>
    <t>Asynchronous</t>
  </si>
  <si>
    <t>Rapid Transition to Online Learning (RTOL)</t>
  </si>
  <si>
    <t>1 hour</t>
  </si>
  <si>
    <t>Microsoft (Makayla Moto)</t>
  </si>
  <si>
    <t>School webmasters and content providers, Central Staff</t>
  </si>
  <si>
    <t>General D75 Q&amp;A</t>
  </si>
  <si>
    <t>No</t>
  </si>
  <si>
    <t>The Rapid Transition to Online learning (RTOL) course provides an emergency roadmap for a rapid transition to online learning. We walk you through a simple step-by-step guide to maintain continuity of teaching and learning.</t>
  </si>
  <si>
    <t>STEM Site</t>
  </si>
  <si>
    <t>Google Classroom Basics Q &amp; A</t>
  </si>
  <si>
    <t>6:00 PM - 8:00 PM</t>
  </si>
  <si>
    <t>Facebook.com/laura.pretorius</t>
  </si>
  <si>
    <t>SI Borough Office (Jackie Patanio)</t>
  </si>
  <si>
    <t>Gina Tesoriero, Jose Perez, Anthony Casasnovas</t>
  </si>
  <si>
    <t>Mouse (Julia Barraford Temel)</t>
  </si>
  <si>
    <t>Anthony Casasnovas &amp; Jose Perez &amp; Christina Basias</t>
  </si>
  <si>
    <t>Facebook</t>
  </si>
  <si>
    <t>Laura Pretorius</t>
  </si>
  <si>
    <t>Facebook Live Q &amp; A about G Suite for Education programs</t>
  </si>
  <si>
    <t>Game-Based Learning</t>
  </si>
  <si>
    <t>SMART Learning Suite Online</t>
  </si>
  <si>
    <t>All Staff</t>
  </si>
  <si>
    <t>SLS Online</t>
  </si>
  <si>
    <t>Play online games across content areas and assess your students playfully.</t>
  </si>
  <si>
    <t xml:space="preserve">FlipGrid </t>
  </si>
  <si>
    <t>Exploring SMART Learning Suite Online with interactive content with students. We will cover how to create ClassLab activities as well as use precreated content, such as PDFs, and allow students to annotate, type and complete independent handout activities that are collected by the teacher.</t>
  </si>
  <si>
    <t>11:00 am - 11:30 am</t>
  </si>
  <si>
    <t>Communicating with Students in Teams Classrooms</t>
  </si>
  <si>
    <t>D75 Science Support Session</t>
  </si>
  <si>
    <t>Sarai Bakal &amp; Joaquin Rodriguez</t>
  </si>
  <si>
    <t>Get help engaging in science instruction at home.</t>
  </si>
  <si>
    <t>Science</t>
  </si>
  <si>
    <t>NYCDOE - Michael Edwards</t>
  </si>
  <si>
    <t xml:space="preserve">TEQ </t>
  </si>
  <si>
    <t>Christina Basias, Jose Perez, Anthony Casasnovas</t>
  </si>
  <si>
    <t>Nearpod Distance Learning</t>
  </si>
  <si>
    <t>12:45 pm - 1:15 pm</t>
  </si>
  <si>
    <t>12:30 am - 1:00 am</t>
  </si>
  <si>
    <t>Present, assess, and share with a variety of pre-made content and engaging tools.</t>
  </si>
  <si>
    <t>Nearpod</t>
  </si>
  <si>
    <t>Microsoft Teams - District 7</t>
  </si>
  <si>
    <t>12:30 pm - 1:00 pm</t>
  </si>
  <si>
    <t>Christina Basias, Jose Perez</t>
  </si>
  <si>
    <t>Zoom Overview</t>
  </si>
  <si>
    <t>Teachers</t>
  </si>
  <si>
    <t>Digital Assessment Tools</t>
  </si>
  <si>
    <t>1:30 pm - 2:30 pm</t>
  </si>
  <si>
    <t>Dive into several tools to assess your students skills remotely.</t>
  </si>
  <si>
    <t>Microsoft Teams for Central DOE Admin</t>
  </si>
  <si>
    <t>School Admin, Borough Office Staff and Teachers</t>
  </si>
  <si>
    <t>Christina Basias, Eileen Marks</t>
  </si>
  <si>
    <t>Jose Perez, Anthony Casasnovas</t>
  </si>
  <si>
    <t>Adobe (Tanya Avrith)</t>
  </si>
  <si>
    <t>Google Classroom Live Q &amp; A</t>
  </si>
  <si>
    <t>6:00 pm - 8:00 pm</t>
  </si>
  <si>
    <t>facebook.com/laura.pretorius</t>
  </si>
  <si>
    <t xml:space="preserve">		Facebook Live Q &amp; A about G Suite for Education programs			</t>
  </si>
  <si>
    <t>Attended 3/24</t>
  </si>
  <si>
    <t>TUE</t>
  </si>
  <si>
    <t>Microsoft Teams for Central Admin Collaboration</t>
  </si>
  <si>
    <t>Tara Carrozza, Laura Benin</t>
  </si>
  <si>
    <t>Jose Perez, Gina Tesoriero</t>
  </si>
  <si>
    <t>G Suite in D75</t>
  </si>
  <si>
    <t>Mouse (Alex Flemming)</t>
  </si>
  <si>
    <t>D75G Agenda</t>
  </si>
  <si>
    <t>Exploring GSuite &amp; Meet through a special education lens</t>
  </si>
  <si>
    <t>The Media Spot (Rhys Daunic)</t>
  </si>
  <si>
    <t>Jo Jo Farrell, Jose Perez, Anthony Casasnovas, Chrisitna Basias</t>
  </si>
  <si>
    <t>WED</t>
  </si>
  <si>
    <t>G Suite: Google Forms</t>
  </si>
  <si>
    <t>3:00pm-4:00PM</t>
  </si>
  <si>
    <t>Microsoft for DIIT</t>
  </si>
  <si>
    <t>10:00 am - 10:30</t>
  </si>
  <si>
    <t>Teq</t>
  </si>
  <si>
    <t>Microsoft Tools to Support Related Service Providers</t>
  </si>
  <si>
    <t>10:30 - 11:30pm</t>
  </si>
  <si>
    <t>Join Teams meeting</t>
  </si>
  <si>
    <t>Google Forms</t>
  </si>
  <si>
    <t>Teaching Matters, DOE-Aligned Remote Teaching Materials</t>
  </si>
  <si>
    <t>Learn how to adapt Teaching Matters DOE aligned material in your classroom.</t>
  </si>
  <si>
    <t>10:00am-11:00am</t>
  </si>
  <si>
    <t>GSuite: Google Sites</t>
  </si>
  <si>
    <t>https://otis.teq.com/events/view/14401</t>
  </si>
  <si>
    <t>11:30 - 12:00pm</t>
  </si>
  <si>
    <t>3:00PM-4:00PM</t>
  </si>
  <si>
    <t>Sessions are broadcasted Live by Teq, you will need to have an account or create a Free account prior to joining. All courses are CTLE approved and there will be a survey at the end of the course. https://otis.teq.com/users/register/ For account assistance, email OTIS@teq.com</t>
  </si>
  <si>
    <t>Google Sites</t>
  </si>
  <si>
    <t>Using Smart Learning Suite for Formal Assessment</t>
  </si>
  <si>
    <t>https://otis.teq.com/events/view/14403</t>
  </si>
  <si>
    <t>Mouse (Tom O'Connell)</t>
  </si>
  <si>
    <t>Gina Tesoriero, Jose Perez, Anthony Casasnovas, Christina Basias</t>
  </si>
  <si>
    <t>Smart</t>
  </si>
  <si>
    <t>Assessment</t>
  </si>
  <si>
    <t>Introduction to Google Classroom</t>
  </si>
  <si>
    <t>https://otis.teq.com/events/view/14404</t>
  </si>
  <si>
    <t>Stephanie Cabarcas</t>
  </si>
  <si>
    <t xml:space="preserve">Microsoft Teams to Provide PBL Activities </t>
  </si>
  <si>
    <t>https://otis.teq.com/events/view/14421</t>
  </si>
  <si>
    <t>Cara Coffina</t>
  </si>
  <si>
    <t>Microsoft Teams for Staff (Special Education)</t>
  </si>
  <si>
    <t>1:30 pm - 2:15 pm</t>
  </si>
  <si>
    <t>Laura Benin, Christina Basias</t>
  </si>
  <si>
    <t xml:space="preserve">Google Slides: Creating Vision Boards Using </t>
  </si>
  <si>
    <t>https://otis.teq.com/events/view/14377</t>
  </si>
  <si>
    <t>Using Class Dojo for student check-ins, assignments, and SEL.</t>
  </si>
  <si>
    <t>Christina Basias / Tara Carrozza</t>
  </si>
  <si>
    <t>Google Slides</t>
  </si>
  <si>
    <t xml:space="preserve">Soundtrap:  Podcasting for ELLs Using </t>
  </si>
  <si>
    <t>https://otis.teq.com/events/view/14370</t>
  </si>
  <si>
    <t>Guillermo Tejeda</t>
  </si>
  <si>
    <t>Mouse (Carlos Leon)</t>
  </si>
  <si>
    <t>Gina Tesoriero, Anthony Casasnovas</t>
  </si>
  <si>
    <t>Soundtrap</t>
  </si>
  <si>
    <t>ELL</t>
  </si>
  <si>
    <t>Google Classroom: to Provide PBL Activities</t>
  </si>
  <si>
    <t>https://otis.teq.com/events/view/14420</t>
  </si>
  <si>
    <t>Mouse (Meredith Summs)</t>
  </si>
  <si>
    <t>Attended 3/25</t>
  </si>
  <si>
    <t>Msft Teams for Remote Collaboration</t>
  </si>
  <si>
    <t>Gina Tesoriero, Laura Benin</t>
  </si>
  <si>
    <t>Teams for School Leaders/Teachers</t>
  </si>
  <si>
    <t xml:space="preserve">Meets Compliance Requirements </t>
  </si>
  <si>
    <t>BrainPOP: Games, Differentiation, &amp; Creation</t>
  </si>
  <si>
    <t>Anthony/Jose/Christina</t>
  </si>
  <si>
    <t xml:space="preserve">Digital Inclusion (DigIn) Camp: Beyond Basics Training </t>
  </si>
  <si>
    <t>1 Fordham Plaza Bronx, NY 10458</t>
  </si>
  <si>
    <t>1:00 - 4:00 pm</t>
  </si>
  <si>
    <t>DIIT &amp; eChalk</t>
  </si>
  <si>
    <t>School webmasters and content providers</t>
  </si>
  <si>
    <t>Help students to be positive online citizens</t>
  </si>
  <si>
    <t>BrainPop</t>
  </si>
  <si>
    <t>Beyond Basics: Additional focused hands-on topics to improve your site’s accessibility."
Open to both school-based and Central staff.
Designed to meet the needs of all content creators.</t>
  </si>
  <si>
    <t>WAITLISTED: Digital Inclusion (DigIn) Camp: Basic Training</t>
  </si>
  <si>
    <t>Anthony Casasnovas, JoJo Farrell &amp; Jose Perez</t>
  </si>
  <si>
    <t>131 Livingston Street 2nd Fl, Rm 207</t>
  </si>
  <si>
    <t>9:00 am - 12:00 pm</t>
  </si>
  <si>
    <t>Basic Training:
Required of all NYC DOE School Webmasters
Prerequisite for further DigIn Camps such as beyond basics
Topics Include:
- What is Digital Accessibility and what are the requirements for my school’s website?
- Hands-on: How can I test my website’s current accessibility?
- Hands-on: Make initial improvements to your site.
Open to both school-based and Central staff
Designed to meet the needs of school webmasters and their content creators</t>
  </si>
  <si>
    <t>Teams for School Climate and Wellness</t>
  </si>
  <si>
    <t>10:00 am- 11:30 am</t>
  </si>
  <si>
    <t>Makayla</t>
  </si>
  <si>
    <t>DigIn Camp - Beyond Basics 2</t>
  </si>
  <si>
    <t>12:30 pm - 3:30 pm</t>
  </si>
  <si>
    <t>EdPuzzle</t>
  </si>
  <si>
    <t>Digital Inclusion (DigIn) Camp: Basic Training</t>
  </si>
  <si>
    <t>10:45 am - 11:15 am</t>
  </si>
  <si>
    <t>Digital Accessibility Makeover</t>
  </si>
  <si>
    <t>12:30 pm - 3:30pm</t>
  </si>
  <si>
    <t xml:space="preserve">This session is for those who have attended a DigIn Camp Basic training, have reviewed their website accessibility, and are ready to improve their score. DigIn staff and website platform representatives will join participants and work with them to remove the accessibility errors and alerts and improve your website’s score. </t>
  </si>
  <si>
    <t>Make My Existing Google Site Accessible</t>
  </si>
  <si>
    <t>Grow with Google Learning Center
111 8th Avenue (between 15th &amp;16th St.)
New York, NY 10011
The entrance is on the ground level of the Google office between West 15th Street and West 16th Street.</t>
  </si>
  <si>
    <t>9:00 am - 3:00 pm</t>
  </si>
  <si>
    <t>DIIT, Google, &amp; Project Recess</t>
  </si>
  <si>
    <t>Coming soon</t>
  </si>
  <si>
    <t>Discover how to make your existing Google Site more accessible. You must be able to log in to your site.</t>
  </si>
  <si>
    <t>Inclusion &amp; Accessibility</t>
  </si>
  <si>
    <t>Elizabeth Tierney</t>
  </si>
  <si>
    <t>School Website Makeover (Spring Recess)</t>
  </si>
  <si>
    <t>333 7th Ave Computer Lab 802, 8th Fl, New York, NY 10001</t>
  </si>
  <si>
    <t>School webmasters, principals, APs, parent coordinators</t>
  </si>
  <si>
    <t>Tara</t>
  </si>
  <si>
    <t>You’ve worked on developing an accessible website, but you want it to also be useful and visually appealing. Join us to learn how to give your website a whole new look that will thoughtfully tell the story of your school.</t>
  </si>
  <si>
    <t>DigIn Camp - Basic Training: (Spring Recess)</t>
  </si>
  <si>
    <t>10:30AM - 1:30PM</t>
  </si>
  <si>
    <t>DIIT and eChalk</t>
  </si>
  <si>
    <t>DigIn Camp: Basic Training Agenda</t>
  </si>
  <si>
    <t>Basics: 
- What is Digital Accessibility and what are the requirements for my school’s website?
- Hands-on: How can I test my website’s accessibility and make initial improvements to my site.
Prerequisite for further DigIn Camps such as beyond basics</t>
  </si>
  <si>
    <t>Digital Inclusion (DigIn) Camp: Basic Training (Spring Recess)</t>
  </si>
  <si>
    <t>accessible assessment videos</t>
  </si>
  <si>
    <t>Digital Inclusion (DigIn) Camp: Beyond Basics Training (Spring Recess)</t>
  </si>
  <si>
    <t>Teams &amp; Google Classroom: Better Together</t>
  </si>
  <si>
    <t>1:00 pm - 4:00 pm</t>
  </si>
  <si>
    <t>DigIn Camp - Basic Training</t>
  </si>
  <si>
    <t>123 Morningside Drive, Unit 2 Entrance, Manhattan</t>
  </si>
  <si>
    <t>Digital Accessibility Certification via SiteImprove Academy</t>
  </si>
  <si>
    <t>1:00 pm - 3:30 pm</t>
  </si>
  <si>
    <t>Microsoft (Kelly Smith &amp; Maria Turner</t>
  </si>
  <si>
    <t>Tara Carrozza / Gina Tesoriero</t>
  </si>
  <si>
    <t>See integration of Microsoft Teams and Google Classroom for staff using both platforms.</t>
  </si>
  <si>
    <t>131 Livingston Street 2nd Fl, Rm 208A Brooklyn, NY 11201</t>
  </si>
  <si>
    <t>Overview of Microsoft Teams and Google Classroom for STH Field Staff</t>
  </si>
  <si>
    <t>11:00am-12:00pm</t>
  </si>
  <si>
    <t>Custom Sesion - Invite Only</t>
  </si>
  <si>
    <t>STH Field Staff</t>
  </si>
  <si>
    <t>Christina Basias, Anthony Casasnovas</t>
  </si>
  <si>
    <t>JoJo, Christina, Jose</t>
  </si>
  <si>
    <t>Basic Training:
Required of all NYC DOE School Webmasters
Prerequisite for further DigIn Camps such as beyond basics
Topics Include:
- What is Digital Accessibility and what are the requirements for my school’s website?
- Hands-on: How can I test my website’s current accessibility?
- Hands-on: Make initial improvements to your site.
Designed to meet the needs of school webmasters and their content creators</t>
  </si>
  <si>
    <t>1:00 pm - 4:00pm</t>
  </si>
  <si>
    <t xml:space="preserve">D75 </t>
  </si>
  <si>
    <t>If you've been working to make content accessible and are now ready to take it to the next level and become certified in digital content accessibility, this opportunity is for you. You will learn about Siteimprove Academy, receive a one-learn license, and have the opportunity to receive certification.</t>
  </si>
  <si>
    <t>DC Agenda</t>
  </si>
  <si>
    <t>Anthony Casasnovas, JoJo Farrell, Chrisitna Basias, Jose Perez</t>
  </si>
  <si>
    <t>1:00 PM - 2:00 PM</t>
  </si>
  <si>
    <t>Tim</t>
  </si>
  <si>
    <t>Brennan</t>
  </si>
  <si>
    <t>tbrennan@apple.com</t>
  </si>
  <si>
    <t>Access Abilities: Designing for All Learners</t>
  </si>
  <si>
    <t>100 Fifth Avenue, 6th Floor 
 New York, NY 10011</t>
  </si>
  <si>
    <t>9:00 a.m. - 12:00 p.m. EST</t>
  </si>
  <si>
    <t>Apple, Inc.</t>
  </si>
  <si>
    <t>All staff</t>
  </si>
  <si>
    <t>At Apple, we believe that technology should be accessible to everyone. Join us at this hands-on event to learn about tools and resources from Apple that allow all students to explore, communicate, and create in new and powerful ways.</t>
  </si>
  <si>
    <t>Jennifer Foxe</t>
  </si>
  <si>
    <t>Pear Deck: Playing At Home</t>
  </si>
  <si>
    <t>The playful presentation, asessment, and sharing tool makes your lessons interactive.</t>
  </si>
  <si>
    <t>Pear Deck</t>
  </si>
  <si>
    <t>Teams Accessibility and Immersive Reader for All Learners</t>
  </si>
  <si>
    <t xml:space="preserve">2:00 pm - 3:00pm </t>
  </si>
  <si>
    <t xml:space="preserve">Website Image Makeover </t>
  </si>
  <si>
    <t>Accessibility</t>
  </si>
  <si>
    <t>Teams for DIIT</t>
  </si>
  <si>
    <t xml:space="preserve">2:00 pm - 3:30pm </t>
  </si>
  <si>
    <t>Anthony Casasnovas, Gina Tesoriero, &amp; Jose Perez</t>
  </si>
  <si>
    <t>Christina; Eileen Marks</t>
  </si>
  <si>
    <t>Anthony/Jose</t>
  </si>
  <si>
    <t>Anthony Casasnovas, Gina Tesoriero</t>
  </si>
  <si>
    <t xml:space="preserve">FlipGrid  </t>
  </si>
  <si>
    <t>5:00 - 5:30 pm</t>
  </si>
  <si>
    <t>N/A</t>
  </si>
  <si>
    <t>Everyone Can Code</t>
  </si>
  <si>
    <t>FlipGrid</t>
  </si>
  <si>
    <t>Educators</t>
  </si>
  <si>
    <t>Join us to learn about Everyone Can Code, the free comprehensive curriculum that makes it easy to teach coding to students. With teacher guides and lessons, you can introduce coding concepts visually on iPad.</t>
  </si>
  <si>
    <t>Computer Science</t>
  </si>
  <si>
    <t>SPOC Mobile Device Management Workshop</t>
  </si>
  <si>
    <t>9:00 a.m. - 1:00 p.m. EST</t>
  </si>
  <si>
    <t>SPOCS, Educators</t>
  </si>
  <si>
    <t>SPOC MDM Workshop</t>
  </si>
  <si>
    <t>Learn how to use Apple School Manager to set up devices and deploy content. Discover how Content Caching can quickly deploy apps and updates.
 Explore how Jamf Pro can be used togroup and manage your devices, users, or specific groups.</t>
  </si>
  <si>
    <t>APPLE Devices</t>
  </si>
  <si>
    <t>Andrew</t>
  </si>
  <si>
    <t>Liebowitz</t>
  </si>
  <si>
    <t>aliebowitz@google.com</t>
  </si>
  <si>
    <t>Google Educator Group (GEG) Meetup March</t>
  </si>
  <si>
    <t>Coming Soon!</t>
  </si>
  <si>
    <t>75 9th Ave, New York, NY 10011</t>
  </si>
  <si>
    <t>5:00pm - 8:00pm</t>
  </si>
  <si>
    <t>Become a part of the Google Educator Group family in our next installment of the NYC DOE Google Educator Group (GEG) Meetups.</t>
  </si>
  <si>
    <t>Google Technology</t>
  </si>
  <si>
    <t xml:space="preserve">Meets Compliance Checklist </t>
  </si>
  <si>
    <t>Everyone Can Create</t>
  </si>
  <si>
    <t>Register here</t>
  </si>
  <si>
    <t>Join us to learn about Everyone Can Create, a new program from Apple designed to help unleash the creative potential in every student. Everyone Can Create includes free learning materials that teach students how to develop and communicate ideas through video, photography, music, and drawing.</t>
  </si>
  <si>
    <t>General</t>
  </si>
  <si>
    <t>Register</t>
  </si>
  <si>
    <t>Google Educator Group (GEG) Meetup April</t>
  </si>
  <si>
    <t>111 8th avenue, New York, NY, 10011</t>
  </si>
  <si>
    <t xml:space="preserve">02/27/2018
&amp;
06/07/2018
</t>
  </si>
  <si>
    <t>iLearnNYC: 2 Day Blended Learning Institute 
Audience: Middle and High School Teachers and Administrators</t>
  </si>
  <si>
    <t>Court Square Training Center 
45-18 Court Square West 
Room 252 
Long Island City, NY 11416</t>
  </si>
  <si>
    <t>9 am – 3 pm</t>
  </si>
  <si>
    <t>iLearnNYC/
iZone Professional Development</t>
  </si>
  <si>
    <t>✓</t>
  </si>
  <si>
    <t>Google Educator Group (GEG) Meetup May</t>
  </si>
  <si>
    <t>Promethean ActivPanel Foundations</t>
  </si>
  <si>
    <t>https://try.prometheanworld.com/foundationsoursenyc/</t>
  </si>
  <si>
    <t>Google Educator Group (GEG) Meetup June</t>
  </si>
  <si>
    <t>Harlem Renaissance Training Center 425 West 123rd Street (Between Morningside and Amsterdam) 6th Floor</t>
  </si>
  <si>
    <t>9:00am - 3:00pm</t>
  </si>
  <si>
    <t>Promethean</t>
  </si>
  <si>
    <t>Yes 6 Hours</t>
  </si>
  <si>
    <t>Take a foundations course on the award-winning solutions for Education:  Promethean ActivPanel, The ActivConnect G, ActivInspire &amp; the ClassFlow Marketplace!  Earn 6 hours of CTLE</t>
  </si>
  <si>
    <t xml:space="preserve">Apple
100 Fifth Avenue - 6th Floor 
New York, NY 10011
</t>
  </si>
  <si>
    <t>Apple</t>
  </si>
  <si>
    <t>Deploying Mac in NYCDOE
Learn about the latest information on Apple products in the NYCDOE.
Hear strategies for troubleshooting common software and hardware issues.
Explore Apple Remote Desktop and see how it can simplify management of Mac devices.
Learn how tvOS makes it simple to configure Apple TV for common school scenarios. Discover best practices for Apple TV deployment.
Learn how education programs and resources from Apple, including Teacher Tuesdays, Apple Teacher, and Everyone Can Code can support your curriculum.</t>
  </si>
  <si>
    <t>Deploying iOS in NYCDOE
Get started with the enhanced Classroom app for iPad that provides more ways to guide learning, share work, and management of student devices.
See how Apple School Manager, a single destination for administrators, can simplify and streamline deployment.
Explore new management features that enable schools to manage devices and the classroom experience.
Learn how tvOS makes it simple to configure Apple TV for common school scenarios.
Hear about education programs and resources from Apple, including Apple Teacher and Everyone Can Code.</t>
  </si>
  <si>
    <t>9am-3pm</t>
  </si>
  <si>
    <t>Google/Kiker Learning</t>
  </si>
  <si>
    <t xml:space="preserve">This free digital literacy curriculum, which is part of the Grow with Google initiative, helps learners obtain new digital skills using G Suite that they can prepare for job and life situations.  The Applied Digital Skills course is intended to help teachers, school administrators, non-profit workers, workforce development providers and others get comfortable with the curriculum and help tailor it to their specific learners’ needs. The ideal training attendee will be the instructors of the Applied Digital Skills curriculum and organizational leadership. If you’re interested in learning more about how the curriculum fits into your programming, we ask that you join us for this training!!
</t>
  </si>
  <si>
    <t xml:space="preserve">Date </t>
  </si>
  <si>
    <t>Event</t>
  </si>
  <si>
    <t>Apple
100 Fifth Avenue - 6th Floor 
New York, NY 10011</t>
  </si>
  <si>
    <t>10 am - 1 pm</t>
  </si>
  <si>
    <t>Join us for an event designed for SPOCs that are new to using Mac devices or considering their first Mac purchase.
We’d like to invite you to an exclusive discussion about best practices for using Mac in education. Hear from Apple about everything you need to know regarding Mac basics. You’ll also have the opportunity to network with other schools deploying Apple devices.</t>
  </si>
  <si>
    <t>Registration</t>
  </si>
  <si>
    <t>Offered by</t>
  </si>
  <si>
    <t>John Dewey High School
50 Avenue X
Brooklyn, NY  11223</t>
  </si>
  <si>
    <t>8:30 am - 3:00 pm</t>
  </si>
  <si>
    <t>iZone/iLearnNYC</t>
  </si>
  <si>
    <t>Join us for the annual iZone/iLearnNYC End of Year Symposium for hands-on innovative workshops on blended learning, Google, iPads and more. 
These workshops are CTLE approved.
Please bring your own device. All sessions are hands-on.</t>
  </si>
  <si>
    <t xml:space="preserve">http://tinyurl.com/GoogleCSFirstOctober20 </t>
  </si>
  <si>
    <t>Google’s CS First is a free program that increases student access and exposure to computer science (CS) education. You'll learn what the program is all about, how to start and run your own club, as well as strategies for how to be an advocate for the program!
Lunch will be provided from 11:30 - 12:30.</t>
  </si>
  <si>
    <t xml:space="preserve">Harlem Renaissance Training Center (425 West 123rd Street. 6th Floor) </t>
  </si>
  <si>
    <t>9:00 - 12:00 or 
12:00 - 3:00</t>
  </si>
  <si>
    <t>Learn how to bring Google Apps for Education and Google Classroom to your school.  Designed for Technology Single Points of Contact (SPOCs) to bring knowledge back to their leadership and colleagues.</t>
  </si>
  <si>
    <t>9:00 - 12:30
or 
1:00 - 4:30</t>
  </si>
  <si>
    <t>Google and Tech Planning</t>
  </si>
  <si>
    <t>Martin Luther King High School
122 Amsterdam Avenue
New York, NY  10015</t>
  </si>
  <si>
    <t>10 am - 
4 pm</t>
  </si>
  <si>
    <t>Manhattan Field Support</t>
  </si>
  <si>
    <t>Please join the MFSC Maker Educator Cohort of schools as we celebrate Making in Manhattan at the second annual Manhattan Make-a-thon. We are featuring over 20 Maker projects and workshops for grades K-12, a Maker Ed Forum, Short Film Festival, the Harlem Samba Band, and a Coke Zero and Mentos eruption</t>
  </si>
  <si>
    <t>76 9th ave. Enter on 16th St/9th Ave. Meet at the Google registration table for badges.</t>
  </si>
  <si>
    <t>JoJo/Jose</t>
  </si>
  <si>
    <t>Microsoft Office 
11 Times Square - Winter Garden Room
NewYork, NY  10036</t>
  </si>
  <si>
    <t>9 am - 12 pm</t>
  </si>
  <si>
    <t xml:space="preserve">Create a world of tomorrow in your classroom with easy to use apps, amazingly integrated tools for learning, and features that engage all types of learners. This 3 hour course reviews the best of Windows 10 for education. Educators completing this course will feel comfortable getting started with Windows 10, using universal apps, inking, and interacting with various types of content. </t>
  </si>
  <si>
    <t>12:30 pm - 4:00 pm</t>
  </si>
  <si>
    <t>Nov- 23</t>
  </si>
  <si>
    <t>9:00 am - 12:30 pm</t>
  </si>
  <si>
    <t xml:space="preserve">Microsoft Office 365 </t>
  </si>
  <si>
    <t>1 Fordham Plaza, 
Bronx, NY 10458</t>
  </si>
  <si>
    <t>Learn how to image your Windows and Apple computers</t>
  </si>
  <si>
    <t xml:space="preserve">iLearnNYC: Turn It Up Part 2: Flipped Classroom Using Google Hangout and EdPuzzle 
</t>
  </si>
  <si>
    <t>In this course, you will learn how use Google Hangout on Air to flip your lessons. Google hangout on Air and an unlisted Youtube channel will provide a wide variety of ways to present materials and allow for collaboration in your classroom. In this course, you will learn the basics of creating videos and mini lessons for students. While using other google tools, we will also explore creative ways to implement videos and lessons into your curriculum. It is recommended that you attend Turn It Up. Must have a gmail account  and basic understanding of Google.
Audience: Middle and High School Teachers and Administrators</t>
  </si>
  <si>
    <t>Mouse (TO)</t>
  </si>
  <si>
    <t>Tips &amp; Tricks in using Microsft Office 365</t>
  </si>
  <si>
    <t xml:space="preserve">HRTC @ 05M125
425 W 123 street
6th Floor
NY, NY 10027
</t>
  </si>
  <si>
    <t>9:00 am - 
3:00 pm</t>
  </si>
  <si>
    <t xml:space="preserve">Microsoft </t>
  </si>
  <si>
    <t>Session Full</t>
  </si>
  <si>
    <t>425 W 123rd Street, 6th Floor
New York NY 10027</t>
  </si>
  <si>
    <t>Come learn about the instructional cloud offerings of Apple, Google and Microsoft. There will be a panel discussion, vendor demos, breakfast and lunch. Should be an amazing day.</t>
  </si>
  <si>
    <t>iLearnNYC: Tell Your Tale: Digital Storytelling for the Classroom</t>
  </si>
  <si>
    <t>Sharing your story is a journey, sometimes a difficult one. This workshop is designed to take you through the process of writing that story from an idea to a completed digital story. During this time, you will learn about digital tools, copyright resources and video editing procedures to publish that story. The process you go through will be similar to that you will take your students on.
Audience: EdTech/Teachers, Technology Coordinators</t>
  </si>
  <si>
    <t>Civic Hall
118 West 22nd Street, 12th Floor
New York, NY  10011</t>
  </si>
  <si>
    <t>4:30 pm - 7:30 pm</t>
  </si>
  <si>
    <t xml:space="preserve">The Innovative Teaching Co-op Monthly Meetup is a free event series in which educators will have the opportunity to collaborate around great teaching and the sophisticated use of digital resources to innovate our schools and prepare students for success. Instructional Technology Coaches from Educate will be on hand to facilitate conversation, provide resources, and share best practices. </t>
  </si>
  <si>
    <t xml:space="preserve">Your classrooms are tech ready for digital learning but it can be hard to find quality tools for teaching and  learning. </t>
  </si>
  <si>
    <t>Graphite / Common Sense</t>
  </si>
  <si>
    <t>333 7th Avenue, Lab 802
New York, NY 10001</t>
  </si>
  <si>
    <t>Our students are connected! As our students participate in digital spaces, they need guidance in how to participate safely, effectively, and ethically. Learn how to take a whole community approach and combine instruction from Common Sense’s free Digital Literacy &amp; Citizenship curriculum on iBooks, with family outreach resources through Connecting Families.</t>
  </si>
  <si>
    <t>Tips &amp; Tricks to maximize the internet bandwidth allocated to your building</t>
  </si>
  <si>
    <t>Overview of the NYCDOE Technical support manual. Attendees should walk away with a better understanding of the basics of computer support.</t>
  </si>
  <si>
    <t>28-11 Queens Plaza North, Lab 400
LIC, NY 11101</t>
  </si>
  <si>
    <t>iLearnNYC: Ins and Outs of Google Classroom</t>
  </si>
  <si>
    <t>Dive Into Class Dojo</t>
  </si>
  <si>
    <t>Google Classroom is a blended learning platform developed by Google for schools that aim to simplify creating, distributing and grading assignments in a paperless way. Learn how set up a classroom with assignments and assessments.
Audience: Teachers and Administrators - Intermediate Google Users - this workshop is NOT for beginners.</t>
  </si>
  <si>
    <t>http://code.org/professional-development-workshops/4940108</t>
  </si>
  <si>
    <t>Design Thinking for Educators 101</t>
  </si>
  <si>
    <t xml:space="preserve">Elementary school teachers: Receive an intro to computer science, pedagogy, overview of the Code.org online curriculum, teacher dashboard, and strategies for teaching “unplugged” classroom activities. You will leave prepared to teach Code Studio courses. </t>
  </si>
  <si>
    <t>Google NYC
Wildwood Room in Chelsea Market
75 9th Ave, New York, NY 10011, USA</t>
  </si>
  <si>
    <t>Thinkful
304 Hudson Street, Fl. 5 Suite 505, New York, NY 10013</t>
  </si>
  <si>
    <t>9:00 a.m. - 4:00 p.m.
Saturday Class</t>
  </si>
  <si>
    <t>Project Recess Inc.</t>
  </si>
  <si>
    <t>Code.org</t>
  </si>
  <si>
    <t>You may have heard the term "Design Thinking" before, but what is it? Design Thinking is a process for creative problem solving and this workshop will explore what that looks like and how it can be applied to your classroom, all while using Google tools as well as good ol’ fashioned sticky notes and markers. Please join us in this interactive, CTLE-approved, professional development session.</t>
  </si>
  <si>
    <t>http://www.metmuseum.org/events/programs/met-celebrates/festivals-and-special-programs/metkids-launch-party</t>
  </si>
  <si>
    <t xml:space="preserve">Celebrate the launch of #MetKids, the Met's new digital feature made for, with, and by kids! Attend a special screening of films created by #MetKids, learn to animate in our pop-up lab. Create your own works of art inspired by what you see in the Museum. </t>
  </si>
  <si>
    <t>MakerBot 3D Printer Primer Training</t>
  </si>
  <si>
    <t>The MET
1000 Fifth Ave
New York, NY 10028</t>
  </si>
  <si>
    <t>1:00 p.m. - 4:00 p.m</t>
  </si>
  <si>
    <t>The MET</t>
  </si>
  <si>
    <t>9/24/2015
Class was cancelled.</t>
  </si>
  <si>
    <t>MakerBot Headquarters
 1 Metrotech Center
 Brooklyn, NY 11201</t>
  </si>
  <si>
    <t>10:00 am - 5:00 pm</t>
  </si>
  <si>
    <t>MakerBot</t>
  </si>
  <si>
    <t>A Primer on 3D Printing with MakerBot is an interactive exploration tailored for Educators. Our full day course is taught by experts in 3D printing and will get you up to speed with MakerBot_x0092_s latest 3D printing technology. 
Email nycdoepromo@makerbot.com for FREE PROMO CODE.</t>
  </si>
  <si>
    <t>https://edseminars.apple.com/event/4Z56S-99VU9</t>
  </si>
  <si>
    <t xml:space="preserve">iLearnNYC: 2 Day Blended Learning Institute </t>
  </si>
  <si>
    <t>Learn to manage Mac computers over the air and simplify device management using OS X Server and Apple Remote Desktop.
Find out about new hardware and software in the NYCDOE. Get helpful troubleshooting advice for the products you already own.</t>
  </si>
  <si>
    <t>Apple
100 Fifth Ave, 6th Fl, New York 10011</t>
  </si>
  <si>
    <t>8:00 a.m. - 12:00 p.m.</t>
  </si>
  <si>
    <t xml:space="preserve">https://edseminars.apple.com/event/y69tW-hQ5u5 </t>
  </si>
  <si>
    <t>Learn to manage iPad computers over the air and simplify device management using OS X Server and Apple Remote Desktop.
Find out about new hardware and software in the NYCDOE. Get helpful troubleshooting advice for the products you already own.</t>
  </si>
  <si>
    <t>1:00 p.m. - 4:00 p.m.</t>
  </si>
  <si>
    <t>http://microcert.eventzilla.net/web/event?eventid=2139093651</t>
  </si>
  <si>
    <t>Explore how the GAFE platform, along with Add-ons for Google Docs, can be used to improve school-wide systems of collaboration, communication, and transparency. This class is for 1 credit. It meets in person from 5-7pm on 9/21 and 10/13. It also meets online from 5-6pm on 9/28, 10/5, and 10/19. See full agenda at http://b.3cdn.net/nvps/896e8e9533f3390147_uqm6b97jd.pdf</t>
  </si>
  <si>
    <t>​New Visions for Public Schools
320 West 13th Street, 6th fl, New York, NY,
10014</t>
  </si>
  <si>
    <t>5:00 p.m. - 7:00 p.m.
See "Description" for future meeting times.</t>
  </si>
  <si>
    <t>New Visions</t>
  </si>
  <si>
    <t xml:space="preserve">Apple: Everyone Can Code </t>
  </si>
  <si>
    <t>Cancelled</t>
  </si>
  <si>
    <t>Apple
100 5th Avenue, 6th Flr
New York, NY 10011</t>
  </si>
  <si>
    <t>http://code.org/professional-development-workshops/4958397</t>
  </si>
  <si>
    <t>Explore Apple’s free K-12 curriculum to teach students to build apps and code robots with Swift. The K-8 curriculum does not require prior experience teaching CS. A more advanced App Development curriculum is available as well. There are now DOE high schools who have juniors and seniors who are publishing apps to the app store.
Audience: Principals &amp; Assistant Principals + 1-2 teachers</t>
  </si>
  <si>
    <t xml:space="preserve">Apple: Access Abilities: Designing for All Learners </t>
  </si>
  <si>
    <t>ThoughtWorks
99 Madison Avenue, 15th Floor, New York, NY 10016</t>
  </si>
  <si>
    <t>Learn about built in features on iOS, OS, and TV OS that help personalize learning for every student. This is a great event for any school with a SPED or ELL population. These features are accessible from any Apple device.
Audience: Principals &amp; Assistant Principals</t>
  </si>
  <si>
    <t>Using the Arts Including Technology to Enhance Academic  Success for ELLs</t>
  </si>
  <si>
    <t>9 am - 11:30 am</t>
  </si>
  <si>
    <t>Description: Intrigued by the idea of combining text, images, video, live drawings and audio recording into a powerful showcase to inspire active student learning? Attend this session to explore the use of some screencasting EdTech tools to enrich your lesson planning. Come learn some best practices for implementing this support strategy to provide all students with differentiated level means to access curricula material. Bring a unit plan so you can begin planning and creating your own screencast to use upon returning to school! Participants MUST bring a unit plan; their own iPads or laptops; headset with microphone.</t>
  </si>
  <si>
    <t>Class is full
Check out desciption for other dates</t>
  </si>
  <si>
    <t>Understand the technology SPOC role and all the resources available to you.</t>
  </si>
  <si>
    <t>iLearnNYC: Blending Your Classroom using D2L (iLearnNYC's  Learning  Environment)</t>
  </si>
  <si>
    <t>In the Green Course, participants will learn about:
» Cloud Printing
» Wireless
» Google Management
» Servers</t>
  </si>
  <si>
    <t>2 MetroTech, 3rd Floor
Brooklyn, NY 11201</t>
  </si>
  <si>
    <t>DIIT - Subject Matter Experts</t>
  </si>
  <si>
    <t>The workshop is for schools that have the standard package and D2L licenses only.  Attendees must have access to the iLearnNYC environment and D2L licenses. 
Educators will learn best practices and methods for building blended learning environments in the iLearnNYC D2L Environment. Participants will learn effective strategies for managing and teaching students in blended classrooms and explore myriad ways blended learning can effectively support standards- based teaching and learning across disciplines and grade levels.
Audience: Middle and High School Teachers and Administrators</t>
  </si>
  <si>
    <t>iLearnNYC: Know Your Students  Better: Formative  Assessment Tech Tools</t>
  </si>
  <si>
    <t>9 am - 
12 pm</t>
  </si>
  <si>
    <t>http://code.org/professional-development-workshops/4951755</t>
  </si>
  <si>
    <t>Just like a GPS that guides you on your journey, formative assessment is a process of continually assessing student progress and making adjustments to maximize learning. You will engage in various technology tools such as Plickers, Today’s Meet, Go Formative, Google Forms and Edpuzzle and have creation time to implement these tools into upcoming lessons.
Audience: Teachers and Administrators</t>
  </si>
  <si>
    <t>iLearnNYC: Tech Tools to Create, Engage and Deliver Instruction</t>
  </si>
  <si>
    <t>12 pm - 
3 pm</t>
  </si>
  <si>
    <t>We have all heard... “I have the best digital tool for that.” The problem is finding the time to devote to learning how to use that tool. This workshop is geared towards exploring a number of digital tools that will assist in creating more engaging lessons as well as developing projects for your students. (EdTech)
Audience: Teachers, Administrators</t>
  </si>
  <si>
    <t>iLearnNYC: Accountable Talk 2.0</t>
  </si>
  <si>
    <t>This workshop will be designed for participants to explore how to more effectively support all learners in collaborating, including English Language Learners and Special Education students. Workshop facilitators can also incorporate infusion of Google Apps for Education (GAFE), Microsoft 365, iCloud/Apple, and other online tools grounded in discussions.
Audience: EdTech/Teachers, Technology Coordinators</t>
  </si>
  <si>
    <t>ThoughtWorks, 99 Madison Avenue, 15th Floor, New York, NY 10017</t>
  </si>
  <si>
    <t>Mouse (CL)</t>
  </si>
  <si>
    <t>Innovative Teaching Co-op - Teachers College</t>
  </si>
  <si>
    <t xml:space="preserve">Teachers College, Columbia University
525 West 120th Street, 177/179 Grace Dodge Hall
New York, NY  10027 
</t>
  </si>
  <si>
    <t>4:30 - 7:30 pm</t>
  </si>
  <si>
    <t xml:space="preserve">The Innovative Teaching Co-op Monthly Meetup is a free event series in which educators will have the opportunity to collaborate around great teaching and the sophisticated use of digital resources to innovate our schools and prepare students for success. Instructional Technology Coaches from Educate will be on hand to facilitate conversation, provide resources, and share best practices. 
</t>
  </si>
  <si>
    <t>iLearnNYC: Screencasting Simplified</t>
  </si>
  <si>
    <t>Intrigued by the idea of combining text, images, video, live drawings and audio recording into a powerful showcase to inspire active student learning? Attend this session to explore the use of some screencasting EdTech tools to enrich your lesson planning. Come learn some best practices for implementing this support strategy to provide all students with differentiated level means to access curricula material. Bring a unit plan so you can begin planning and creating your own screencast to use upon returning to school! Participants MUST bring a unit plan; their own iPads or laptops; headset with microphone.
Audience: EdTech/Teachers, Technology Coordinators</t>
  </si>
  <si>
    <t>In the Blue Course, participants will learn about:
--&gt;Symantec Antivirus protection
--&gt;InformationSecurity Awareness
--&gt;Office 365</t>
  </si>
  <si>
    <t>iLearnNYC: Deeper Dive with Google Drive</t>
  </si>
  <si>
    <t>Innovation Institute</t>
  </si>
  <si>
    <t>http://ilearnnyc.wikispaces.com/iLearnNYC+Innovation+Institute+2015</t>
  </si>
  <si>
    <t>This session is for advanced users with experience using Google Apps for Education.
Participants will go beyond the basic use of Google Apps for Education and dive deeper into the many
valuable features that are available to you such as, Add-ons, Extensions and more.
Audience: Teachers and Administrators</t>
  </si>
  <si>
    <t>Mouse (MS)</t>
  </si>
  <si>
    <t xml:space="preserve">8201 Rockaway Blvd
Room 307
Queens, NY  11416 </t>
  </si>
  <si>
    <t>9 am - 
3 pm</t>
  </si>
  <si>
    <t>iLearnNYC: Supporting Your PLN through Social Media</t>
  </si>
  <si>
    <t>Select from a myriad of learning opportunities that will enhance your instructional practice starting with a keynote by Jeff Mao:  From Surviving to Thriving in a Tech-Rich School or Classroom with practical tips on Device Management, Student Learning, and Family Outreach. Participants will also be able to personalize their professional growth by selecting sessions to attend.</t>
  </si>
  <si>
    <t>Professional Learning Communities (PLCs) are a powerful way for administrators to infuse a school’s mission and goals into discussions and data-driven decision making related to achievement, instruction, and success while empowering teachers to be a part of the process Participants will explore how to use social media to deepen and widen the discussion your PLCs are having. Participants will also explore how to use social media as a platform for having ongoing conversations between PLC meetings.
Audience: EdTech/Teachers, Technology Coordinators</t>
  </si>
  <si>
    <t>High School of Economics and Finance, 100 Trinity Place, NY, NY 10013</t>
  </si>
  <si>
    <t>8:30 - 3:00</t>
  </si>
  <si>
    <t>Office of Innovation</t>
  </si>
  <si>
    <t xml:space="preserve">Apple: School Visit: School Visit - MS 442 School for Innovation </t>
  </si>
  <si>
    <t>MS 442 School for Innovation
500 19th Street - Bishop Ford Complex
Brooklyn, NY 11215</t>
  </si>
  <si>
    <t>8:30 am - 12 pm</t>
  </si>
  <si>
    <t>In the Red Course, participants will learn about:
--&gt;PCS Support vendors
--&gt;Computer Equipment Disposal
--&gt;Windows Imaging</t>
  </si>
  <si>
    <t xml:space="preserve">Join us for a visit to MS 442 School for Innovation to see a one-to-one program that engages all students. Learn how the technology infrastructure supports innovation in learning and teaching. Hear from members of the school community, and visit classrooms to discover the possibilities that mobile learning provides.  
Audience: Principals &amp; Assistant Principals </t>
  </si>
  <si>
    <t>iLearnNYC: Developing Executive  Function Skills through Technology</t>
  </si>
  <si>
    <t>In order for students to learn from the best lessons and resources, they need the skills of self-regulation, organization, and planning. These executive function skills will enable them to create meaning from their learning opportunities. In this workshop, teachers will gain an understanding of the link between executive function skills and academic achievement, and develop learning and practice activities using various technology tools aimed at building executive function across the seven key components: working memory, cognitive flexibility, planning, reasoning, problem-solving, and self-regulation.
Audience: EdTech/Teachers, Technology Coordinators</t>
  </si>
  <si>
    <t>iLearnNYC: Exploring Effective  Digital Leadership Part 1</t>
  </si>
  <si>
    <t>This workshop enables school leaders to understand their changing role today’s digital world. The eight Pillars of Digital Leadership are a framework for change.
Audience: School Leaders, EdTech/Teachers, Technology Coordinators</t>
  </si>
  <si>
    <t>12:15 pm - 2:45 pm</t>
  </si>
  <si>
    <t>This workshop explores how School Leaders become the “storyteller in chief” by developing a strategic mindset to meet stakeholders where they are. School Leaders must understand and embrace the 21st century shift in education by strategically utilizing social media tools to communicate essential/important information to key stakeholders.
Audience: School Leaders, EdTech/Teachers, Technology Coordinators</t>
  </si>
  <si>
    <t>iLearnNYC: Privacy and the Schools  - What School Leaders, Teachers and Students  Need to Know</t>
  </si>
  <si>
    <t>http://code.org/professional-development-workshops/4951756</t>
  </si>
  <si>
    <t xml:space="preserve">“Privacy 101” is designed to explore the dangers inherent in modern technology, provide common sense cautions and raise awareness of applicable laws and regulations.
Audience: School Leaders, EdTech/Teachers,Technology Coordinators
</t>
  </si>
  <si>
    <t>iLearnNYC: Using the Arts Including Technology to Enhance Academic  Success for ELLs</t>
  </si>
  <si>
    <t>General Assembly
915 Broadway New York, NY 10010</t>
  </si>
  <si>
    <t>Intrigued by the idea of combining text, images, video, live drawings and audio recording into a powerful showcase to inspire active student learning? Attend this session to explore the use of some screencasting EdTech tools to enrich your lesson planning. Come learn some best practices for implementing this support strategy to provide all students with differentiated level means to access curricula material. Bring a unit plan so you can begin planning and creating your own screencast to use upon returning to school! Participants MUST bring a unit plan; their own iPads or laptops; headset with microphone.
Audience: EdTech/Teachers, Technology Coordinators</t>
  </si>
  <si>
    <t>iLearnNYC: Using Technology to Enhance Instruction for ELLs</t>
  </si>
  <si>
    <t>This workshop explores how school leaders can help support teachers to improve ELL's academic outcomes by using digital tools. Facilitators provide an overview of the current digital age learning experiences and trends. Using a step-by-step guide, school leaders explore how to implement technology-infused lessons that are specifically aligned with English learners' needs. This workshop also cultivates digital citizenship.
Audience: EdTech/Teachers, Technology Coordinators</t>
  </si>
  <si>
    <t>In the Purple Course, participants will learn about:
--&gt;Apple Configurator
--&gt;Apple Cache server
--&gt;Apple Imaging</t>
  </si>
  <si>
    <t xml:space="preserve">Apple - Access Abilities: Designing for All Learners </t>
  </si>
  <si>
    <t>Learn about built in features on iOS, OS, and TV OS that help personalize learning for every student. This is a great event for any school with a SPED or ELL population. These features are accessible from any Apple device.</t>
  </si>
  <si>
    <t>Apple - Terence C. Reilly School No. 7</t>
  </si>
  <si>
    <t xml:space="preserve">iPad gives you countless ways to create interactive, immersive, and engaging lessons
for every learner. Please join us at any or all of these in-depth sessions, hosted at the
</t>
  </si>
  <si>
    <t>Apple Store,
103 Prince Street
SoHo, NY 10012</t>
  </si>
  <si>
    <t xml:space="preserve">Terence C. Reilly School No. 7
436 First Avenue
Elizabeth, NJ 07206
</t>
  </si>
  <si>
    <t>5:00 - 7:00 pm</t>
  </si>
  <si>
    <t xml:space="preserve">Join us for a visit to Terence C. Reilly School No. 7 to see a one-to-one program that engages all students. Learn how the technology infrastructure supports innovation in learning and teaching. Hear from members of the school community, and visit classrooms to discover the possibilities that mobile learning provides. </t>
  </si>
  <si>
    <t>Apple - Everyone Can Code</t>
  </si>
  <si>
    <t xml:space="preserve">At this event, you’ll learn how to manage Mac computers over
the air and simplify device management using OS X Server and
Apple Remote Desktop. </t>
  </si>
  <si>
    <t>Apple
100 5th Ave - 6th fl
NY, NY 10011</t>
  </si>
  <si>
    <t>Explore Apple’s free K-12 curriculum to teach students to build apps and code robots with Swift. The K-8 curriculum does not require prior experience teaching CS. A more advanced App Development curriculum is available as well. There are now DOE high schools who have juniors and seniors who are publishing apps to the app store.</t>
  </si>
  <si>
    <t xml:space="preserve">iZone/Khan Academy: College Access Edition </t>
  </si>
  <si>
    <t>Brooklyn Law
205 State Street, Geraldo’s Café
Brooklyn NY 11201</t>
  </si>
  <si>
    <t>9 am – 4 pm</t>
  </si>
  <si>
    <t>This professional development is designed for High School educators. We will focus on navigating and learning to use Khan Academy as a resource to prepare students for the college entrance exams on March 21, 2018.   Per session available. Bring your resume and OP175.</t>
  </si>
  <si>
    <t>At this event, you’ll discover how to automate iOS device setup
using Apple Configurator and streamline content distribution
with the Volume Purchase Program.</t>
  </si>
  <si>
    <t>iLearnNYC: Future Ready Learning II:  Who Owns the Learning &amp; Three Pillars of Web Literacy with Alan November</t>
  </si>
  <si>
    <t>Ths class has past, please check out description for possible future dates</t>
  </si>
  <si>
    <t>In the Orange Course, participants will learn:
--&gt;Bandwith Optimization
--&gt;LAN, WAN, Wireless troubleshooting
--&gt;IPDVS overview and troubleshooting
--&gt;Q&amp;A</t>
  </si>
  <si>
    <t>Understanding effective search and validation strategies are essential for harnessing information. Students nedd to connect and collaborate, learn from their peers and contribute to their learning community. Learn how about the three pillars of web literacy and enabling your students to own their learning.  Per session available. Bring resume and OP175.</t>
  </si>
  <si>
    <t>iLearnNYC: Future Ready Learning I: Leadership Managing the Transition &amp; Creating a New Culture with Alan November</t>
  </si>
  <si>
    <t>In the Red Course, participants will learn:
--&gt;PCS Support vendors
--&gt;Computer Equipment Disposal
--&gt;Windows Imaging</t>
  </si>
  <si>
    <t>Listen and learn as Alan November outlines essential skills for leadership and offer both practical guidelines and creative solutions for building accountability into the planning and implementation process. Articulating vision and mission, managing change, and aligning technology to primary curricular goals are emphasized. We will explore the “leader as a role model” concept and look at various professional development opportunities, such as joining a global professional community: creating a new culture of teaching and learning.  Per session available. Bring resume and OP175.</t>
  </si>
  <si>
    <t>In the Grey Course, participants will learn:
--&gt;Basic Computer troubleshooting
--&gt;Overview of NYCDOE specific technician manual
--&gt;Service Desk -- tips, tricks &amp; services</t>
  </si>
  <si>
    <t>iLearnNYC: Leading with Blended Learning in Your School</t>
  </si>
  <si>
    <t>45-18 Court Square West, Room 252, Queens, NY 11101</t>
  </si>
  <si>
    <t>iLearn</t>
  </si>
  <si>
    <t xml:space="preserve">What is blended learning and how is it implemented across iLearnNYC schools? 
Learn about the various implementation models, how to build your team to get started, establishing teacher expectations, student orientation, vendor overviews and other resources that will help guide successful implementation of a blended learning program in your school. 
</t>
  </si>
  <si>
    <t>iLearnNYC: Developing Executive Function Skills through Technology</t>
  </si>
  <si>
    <t>In the Blue Course, participants learn:
--&gt;Symantec Antivirus protection
--&gt;InformationSecurity Awareness
--&gt;Office 365 Overview</t>
  </si>
  <si>
    <t>9 am - 3 pm</t>
  </si>
  <si>
    <t>In order for students to learn from the best lessons and resources, they need the skills of self-regulation, organization, and planning. These executive function skills will enable them to create meaning from their learning opportunities. In this workshop, teachers will gain an understanding of the link between executive function skills and academic achievement, and develop learning and practice activities using various technology tools aimed at building executive function across the seven key components: working memory, cognitive flexibility, planning, reasoning, problem-solving, and self-regulation.</t>
  </si>
  <si>
    <t>Harlem Renaissance Training Center
425 West 123rd Street (Between Morningside and Amsterdam)
6th Floor</t>
  </si>
  <si>
    <t xml:space="preserve">Google/        Project Recess </t>
  </si>
  <si>
    <t>Learn how how to launch Gsuite for Education and use best practices for managing your school Gsuite Domain.  This class is geared towards staff that manage the schools Gsuite Domain.</t>
  </si>
  <si>
    <t>8201 Rockaway Blvd
Room 307
Queens, NY  11416</t>
  </si>
  <si>
    <t>8:30 am - 11:30 am</t>
  </si>
  <si>
    <t>We have all heard… “I have the best digital tool for that.” The problem is finding the time to devote to learning how to use that tool. This workshop is geared towards exploring a number of digital tools that will assist in creating more engaging lessons as well as developing projects for your students.</t>
  </si>
  <si>
    <t>iLearnNYC: Know Your Students Better: Formative Assessment Tech Tools</t>
  </si>
  <si>
    <t>Covers a myriad of learning opportunities that will enhance your instructional practice. The day will be comprised of am and pm workshops. Each workshop will be 2.5 hours long. BRING YOUR OWN DEVICE and headsets.</t>
  </si>
  <si>
    <t>John Dewey High School, 50 Avenue X, Brooklyn NY 11233</t>
  </si>
  <si>
    <t xml:space="preserve">08:30 a.m. – 03:00 p.m.
</t>
  </si>
  <si>
    <t xml:space="preserve">DIIT   </t>
  </si>
  <si>
    <t>12 pm - 3 pm</t>
  </si>
  <si>
    <t>Just like a GPS that guides you on your journey, formative assessment is a process of continually assessing student progress and making adjustments to maximize learning. You will engage in various technology tools such as Plickers, Today’s Meet, Go Formative, Google Forms and Edpuzzle and have creation time to implement these tools into upcoming lessons.</t>
  </si>
  <si>
    <t>Thinking of starting a Makerspace? Then this is the professional learning opportunity for you. You will meet industry leaders who will provide advice, insight, and allow you to get hands on with the key components of Makerspaces.</t>
  </si>
  <si>
    <t xml:space="preserve">971 Columbus Avenue / Near 108th in Manhattan
</t>
  </si>
  <si>
    <t>iLearnNYC: Creating Digital Comics to WOW Your Students</t>
  </si>
  <si>
    <t xml:space="preserve">With approximately 60% of our students being visual learners, why when students get to fourth grade do we suddenly expect them to read only prose? Come learn how to weave the visual with text to create comics (graphic novels) with your students that will be sure to leave your students wanting more and a new perspective on literature. Get licenses for your class. </t>
  </si>
  <si>
    <t>Google Apps Introduction for School Administrators</t>
  </si>
  <si>
    <t>School Principals and Assistant Principals will learn what Google Apps for Education (GAFE) is and how it can powerfully enhance communication and collaboration for your staff, teachers and students.</t>
  </si>
  <si>
    <t>M.S. 217 
Robert A. Van Wyck Library
85-05 144th St, 
Briarwood, NY 11435</t>
  </si>
  <si>
    <r>
      <t xml:space="preserve">This session is for </t>
    </r>
    <r>
      <rPr>
        <b/>
      </rPr>
      <t>advanced users</t>
    </r>
    <r>
      <t xml:space="preserve"> with experience using Google Apps for Education. Participants will go beyond the basic use of Google Apps for Education and dive deeper into the many valuable features that are available to you such as, Add-ons, Extensions and more.</t>
    </r>
  </si>
  <si>
    <t>12:00 - 3:00pm</t>
  </si>
  <si>
    <t>Sharing your story is a journey, sometimes a difficult one. This workshop is designed to take you through the process of writing that story from an idea to a completed digital story. During this time, you will learn about digital tools, copyright resources and video editing procedures to publish that story. The process you go through will be similar to that you will take your students on.  Bring your laptop and headsets.</t>
  </si>
  <si>
    <t>In the Grey Course, participants will learn about:
--&gt;Basic Computer troubleshooting
--&gt;Overview of NYCDOE specific technician manual
--&gt;Service Desk -- tips, tricks &amp; services</t>
  </si>
  <si>
    <t>Mouse (PW)</t>
  </si>
  <si>
    <t xml:space="preserve">9:00 am - 12:00 pm </t>
  </si>
  <si>
    <t>BrainPOP Games &amp; Differentiation</t>
  </si>
  <si>
    <t xml:space="preserve">Come share best practices at the first ever EdCamp Staten Island! 
--&gt;Edcamp is an unconference that brings passionate educators together to enhance &amp; improve their craft.                                                 
--&gt;Topics are determined the day of the conference by the participants themselves.                                                            
--&gt;Edcamp is FREE. Breakfast is provided! </t>
  </si>
  <si>
    <t>I.S. 75, 455 Hugenot Ave. 
Staten Island, NY 10312</t>
  </si>
  <si>
    <t>8:30 am - 12:30 pm</t>
  </si>
  <si>
    <t xml:space="preserve">Division of Teaching &amp; Learning:  Staten Island - BFSC </t>
  </si>
  <si>
    <t>John Dewey High School
50 Avenue X
Brooklyn, NY 11223</t>
  </si>
  <si>
    <t>iLearnNYC</t>
  </si>
  <si>
    <t>Join us for the annual iZone/iLearnNYC Innovation Institute II event for hands-on innovative workshops on blended learning, Google, iPads and more.  Learn how to engage your ELL students, students with disabilities and your parent community. There is so much more!</t>
  </si>
  <si>
    <t>Optimizing your 3D Print</t>
  </si>
  <si>
    <t>SMART Executive Briefing Center, 200 Lexington Avenue, Suite 1115, New York, NY 10017</t>
  </si>
  <si>
    <t>9:00 AM – 11:00 AM</t>
  </si>
  <si>
    <t>In the Orange Course, participants learn:
--&gt;Bandwith Optimization
--&gt;LAN, WAN, Wireless troubleshooting
--&gt;IPDVS overview and troubleshooting
--&gt;Q&amp;A</t>
  </si>
  <si>
    <t>Cura is free, industry-leading 3D slicing software created by Ultimaker. With over 200 settings and one and a half million downloads, Cura is quickly becoming the go-to preparation software for 3D printing enthusiasts.
But even the enthusiasts were novices looking for tips and tricks. This session will teach you how to maximize print efficiency by reducing waste, print times, and how to avoid a few of the common print failures.
Join us to learn how to optimize your 3D print for setup, materials, and successful prints.
This free event is open to all educators. Please bring a laptop or a mobile device. *Seats are limited, be sure to register today!</t>
  </si>
  <si>
    <t>3D Design Challenges</t>
  </si>
  <si>
    <t>SMART Executive Briefing Center, 200 Lexington Avenue, Suite 1115, New York, NY 10018</t>
  </si>
  <si>
    <t>11:30 AM – 1:30 PM</t>
  </si>
  <si>
    <t>Design challenges are a fun and creative way to get your students thinking outside the box. During this session, you’ll learn how to start a design challenge, what’s needed to make it successful, and experience an example challenge yourself. 
Using CAD software, you’ll have the opportunity to design your own solution, share ideas, and network with educators passionate about STEM and 3D printing.
This free event is open to all educators. Please bring a laptop or a mobile device. *Seats are limited, be sure to register today!</t>
  </si>
  <si>
    <t xml:space="preserve">A Technology Device is required for the Workshop (Laptop, Tablet, Chrome book). Please bring a brown bag lunch or local restaurants are available. All participants will receive a printed curriculum guide and a Code.Org Swag Bag with goodies. You will receive a follow up email from Code.Org after you register. </t>
  </si>
  <si>
    <t>WeWork
315 W 36th St
New York, NY</t>
  </si>
  <si>
    <t>9:30 am - 4:00 pm</t>
  </si>
  <si>
    <t>Code.Org</t>
  </si>
  <si>
    <t>Learn how how to launch Gsuite for Education and use Google Classroom with your students.</t>
  </si>
  <si>
    <t>Learn to Teach Coding via Scratch + the Socratic Method</t>
  </si>
  <si>
    <t>Cancelled, to be rescheduled</t>
  </si>
  <si>
    <t xml:space="preserve">Come learn how to engage your students in coding! The Coding Space is holding a professional development session where particpants learn the basics of MIT's Scratch programming language, create your first Scratch project, and learn The Coding Space's project-based and Socratic teaching method. After learning for 2 hours, you'll directly apply your new coding skills to teach students. For teachers of students aged 8 and older.
</t>
  </si>
  <si>
    <t>92nd Street Y</t>
  </si>
  <si>
    <t>11:00 am - 3:00 pm</t>
  </si>
  <si>
    <t xml:space="preserve">Are you thinking of replacing or adding display technology in one or more of your classrooms?
Are you familiar with all the display options? (SmartBoard?, Promethean?, regular LCD Display? Streaming / Casting?)
Do you have questions, concerns or would you like to compare the products?
A panel of leading NYC Technology Providers (including Microsoft, Apple, Google, Teq/Smart, Promethean, Epson and more), along with DIIT Leadership will discuss the challenges and opportunities around Interactive Technology in the classroom. 
The day will provide a perspective of current and emerging products, trends, directions and best practices as seen in classrooms throughout the country.  You will have an opportunity to hear from the top selling vendor community, ask and hear questions posed by a DOE moderator, and see product demonstrations. 
This event will provide you with a vehicle to communicate what you need in your school to be successful moving forward. It will also provide guidance on where to go when you have technical issues or just need help.
</t>
  </si>
  <si>
    <t>Building a School Technology Vision (Principals &amp; APs)</t>
  </si>
  <si>
    <t>School leaders will learn:
&gt;Elements of change management
&gt;Gauging readiness for tech initiatives
&gt;Clear guidance on visioning process
&gt;Analysis of current &amp; desired states
&gt;Samples of quality school tech visions</t>
  </si>
  <si>
    <t>1:00 pm - 
3:30 pm</t>
  </si>
  <si>
    <t>DIIT - 
Jason Levy,
Special Advisor of Schools Technology</t>
  </si>
  <si>
    <t>SMART Learning Suite Basics and SMART iQ</t>
  </si>
  <si>
    <t>SMART Executive Briefing Center, 200 Lexington Avenue, Suite 1115, New York, NY 10020</t>
  </si>
  <si>
    <t>9:30 AM – 12:30 PM</t>
  </si>
  <si>
    <t>In the Purple Course, participants learn:
--&gt;Apple Configurator
--&gt;Apple Cache server
--&gt;Apple Imaging</t>
  </si>
  <si>
    <t>This opportunity is full. Please check back for further opportuntities</t>
  </si>
  <si>
    <t xml:space="preserve">ASI System Intergration 
Diagnotics for Apple &amp; Lenovo
Printing Technology </t>
  </si>
  <si>
    <t>ASI System Intergration
415 2nd Avenue
New Hyde Park, NY  11040</t>
  </si>
  <si>
    <t>10:00 am - 
3:13 pm</t>
  </si>
  <si>
    <t>ASI Systems Intergration</t>
  </si>
  <si>
    <t>In this session, you will learn the basics of the SMART Learning Suite, including SMART Notebook. The session will focus on the updates released in version 17 of the software. You will also learn about the instructional benefits of SMART iQ, including screensharing and the Notebook lesson viewer. This session is NYS CTLE approved.</t>
  </si>
  <si>
    <t>Connecting Chromebooks to the SMART Notebook Software</t>
  </si>
  <si>
    <t>SMART Executive Briefing Center, 200 Lexington Avenue, Suite 1115, New York, NY 10021</t>
  </si>
  <si>
    <t>1:30 - 4:30 PM</t>
  </si>
  <si>
    <t>9:30 am - 
12:00 pm</t>
  </si>
  <si>
    <t xml:space="preserve">This opportunity is full. Please check Code.org for further opportunties. </t>
  </si>
  <si>
    <t>Taught by Code.org Affiliates who are experienced computer science educators, our free workshops will prepare you to teach the Code Studio courses for grades K-5
**Please note: This is a district workshop open to NYCDOE public and charter school teachers only.</t>
  </si>
  <si>
    <t>NYU MAGNET 
2 Metrotech Center, Room 845, Brooklyn, NY 11201 ‎</t>
  </si>
  <si>
    <t>9:00 am - 4:00 pm</t>
  </si>
  <si>
    <t>In this session you will learn how to use the SMART Learning Suite, include SMART Learning Suite Online, with your classroom Chromebooks. You will learn how to engage students with game-based learning tools and interactive assessments that they can participate in via their devices. This session is NYS CTLE approved.</t>
  </si>
  <si>
    <t>Michael J Petrides School Building H 715 Ocean Terrace Staten Island, NY 10301</t>
  </si>
  <si>
    <t>8:00 AM – 11:00 AM</t>
  </si>
  <si>
    <t>MAKERSPACE VISIT: Robotics - LEGO Mindstorms</t>
  </si>
  <si>
    <t>Visit the Magen David Yeshiva High School Library makerspace to see the creative things high school students are doing with robotics.</t>
  </si>
  <si>
    <t>Magen David Yeshiva HS
7801 Bay Pkwy, Brooklyn, NY 11214</t>
  </si>
  <si>
    <t>2:00 pm - 4:00 pm</t>
  </si>
  <si>
    <t>MAKERSPACE
VISIT:  Robotics</t>
  </si>
  <si>
    <t>11:30 AM - 2:30 PM</t>
  </si>
  <si>
    <t>See the In Robotics Club at PS 7 in action!   Students build robots using Legos then learn to program their robots to do various tasks using the Legomindstorms software.  This after-school opportunity allows students to learn the valuable skills involving in computer programing and technological literacy and have fun at the same time.</t>
  </si>
  <si>
    <t>PS 7K Abraham Lincoln Library - 
858 Jamaica Avenue, Brooklyn, NY 11208</t>
  </si>
  <si>
    <t>2:20 pm - 4:20 pm</t>
  </si>
  <si>
    <t>GSuite Admin 101</t>
  </si>
  <si>
    <t>In the Green Course, participants learn:
» Cloud Printing
» Wireless
» Google Management
» Servers</t>
  </si>
  <si>
    <t>MAKERSPACE VISIT: Robotics</t>
  </si>
  <si>
    <t>9:00 am - 12:00 noon</t>
  </si>
  <si>
    <t>131 Livingston Street, Room 403 
Brooklyn, NY 11201</t>
  </si>
  <si>
    <t>715 Ocean Terrace
Building H -- Small Conference room
Staten Island, NY 10301</t>
  </si>
  <si>
    <t>MakerBot 3D Printing Primer</t>
  </si>
  <si>
    <t>MakerBot Headquarters, 1 Metrotech Center 21st Floor Brooklyn, NY 11205</t>
  </si>
  <si>
    <t>10am-5pm</t>
  </si>
  <si>
    <t>MakerBot 3D Printing</t>
  </si>
  <si>
    <t>9:30 am - 12:00 noon</t>
  </si>
  <si>
    <t>This primer on 3D Printing is an interactive exploration tailored for Educators taught by experts in 3D printing. It covers 3D printing hardware including troubleshooting and set-up, 3D design software, and Thingiverse Education resources for free curriculum. Email nycdoepromo@makerbot.com before you register for free promo code. Seats limited.</t>
  </si>
  <si>
    <t>SMART Executive Briefing Center, 200 Lexington Avenue, Suite 1115, New York, NY 10019</t>
  </si>
  <si>
    <t>Introduction to Cura (3D Preparation Software)</t>
  </si>
  <si>
    <t>SMART Executive Briefing Center, 200 Lexington Avenue, Suite 1115, New York, NY 10016</t>
  </si>
  <si>
    <t>Many factors can affect your 3D printing experience–from the quality of your file to the settings in Cura, but knowing the software is key to success.
This session covers the basics -- everything from how to download Cura, to how to find 3D prints, and what the right settings are for your masterpieces. Join Teq’s experts to grow your 3D skills and get right to the fun!
This free event is open to all educators. Please bring a laptop or a mobile device. *Seats are limited, be sure to register today!</t>
  </si>
  <si>
    <t>Designing in 3D: Tinkercad</t>
  </si>
  <si>
    <t>MAKERSPACE VISIT: 3D printing at the Creation Station</t>
  </si>
  <si>
    <t xml:space="preserve">Visit JHS 216 to see their after school 3D printing program in action! </t>
  </si>
  <si>
    <t>JHS 216 - Library
64-20 175th Street
Fresh Meadows, NY 11365</t>
  </si>
  <si>
    <t>2:30 pm - 4:30 pm</t>
  </si>
  <si>
    <t>Half the fun of having a 3D printer is taking your time to design something amazing. Maybe it’s an invention or an improvement to an existing lesson.
 Whatever the case, there are tons of tools and software to bring your ideas to life. During this session, we tackle Tinkercad–one of the simplest, yet most versatile 3D design software of the bunch.
 Learning Tinkercad immerses you in the Autodesk universe, an industry-leading software for a variety of 3D applications. Join us to learn Tinkercad basics and leave with great resources for you and your students to dive into 3D designing.
 This free event is open to all educators. Please bring a laptop or a mobile device. *Seats are limited, be sure to register today!</t>
  </si>
  <si>
    <t>MAKERSPACE VISIT: Coding with Khan Academy</t>
  </si>
  <si>
    <t>Visit the MLK Campus Library makerspace to see the creative things high school students are doing with code.</t>
  </si>
  <si>
    <t>MLK High School
122 Amsterdam Avenue, 
New York, NY  10023</t>
  </si>
  <si>
    <t>MAKERSPACE VISIT: Coding with Scratch and Arduino</t>
  </si>
  <si>
    <t>Visit the makerspace at PS1x where students are coding and prototyping using Google’s CS First program -- a free after school program that expands student access and exposure to computer science. PS 1 students have already mastered the Storytelling program, and are currently enrolled in two other programs: Art and Game Design. In Art, students are creating animations and artistic projects, such as interactive artwork and photograph filters. In the Game Design program, students are learning basic video game coding concepts by creating different types of games, which include racing, platforms and launching.</t>
  </si>
  <si>
    <t>PS 1X - The Courtlandt School Library
335 East 152nd St
Bronx, NY  10415</t>
  </si>
  <si>
    <t>Class cancelled</t>
  </si>
  <si>
    <t xml:space="preserve">Harlem Renaissance Training Center
425 West 123rd Street (Between Morningside and Amsterdam)
6th Floor
</t>
  </si>
  <si>
    <t xml:space="preserve">To bring about change, we must be aware of the issues and possible solutions. Come join us as we engage in conversations related to underrepresented groups in the ed tech space. How can we harness the power of technology to help us address issues such as equity, access, fair representation, gender, ability, and more. </t>
  </si>
  <si>
    <t>In the Red Course, participants learn:
--&gt;PCS Support vendors
--&gt;Computer Equipment Disposal
--&gt;Windows Imaging</t>
  </si>
  <si>
    <t>Teaching Common Core Thematic Units w/ Technology</t>
  </si>
  <si>
    <t xml:space="preserve">John Dewey High School
50 Avenue X
Brooklyn, NY  11223 </t>
  </si>
  <si>
    <t>iZone/iLearn</t>
  </si>
  <si>
    <t>Learn how to create Common Core aligned thematic units for your students. Adam Hyman author of Scholastic’s Managing the Digital Classroom and Jeff Moss former winner of the Bernard Cohen award and 2012 NYC Social Studies Teacher of the Year have created hands-on, interactive thematic units throughout their school; integrating technology, social studies, science, art, music, and physical education into engaging units of study. Impress your administrators as you engage and inspire your students. Enhance any unit of study by including creative techniques that will ultimately help and enrich students of all ages and abilities.</t>
  </si>
  <si>
    <t>P.S. 101 Elementary School
2 Russell Place
Forest Hills, NY  11375</t>
  </si>
  <si>
    <t>9:00 am - 1:00 pm</t>
  </si>
  <si>
    <t>Visit the Magen David Yeshiva High School Library makerspace to see the creative things high school students are doing with roboyics.</t>
  </si>
  <si>
    <t>Magen David Yeshiva HS Library
7801 Bay Pkwy, Brooklyn, NY 11214</t>
  </si>
  <si>
    <t xml:space="preserve">iLearnNYC/iZone </t>
  </si>
  <si>
    <t>Khan Academy offers thousands of standards-aligned exercises, videos, and articles for high school math classrooms. This hands-on training will show you how you can easily plug Khan Academy into your classroom. We will explore the on-boarding process, student practice experience, and teacher tools. Additionally, there may be advance previews of new Khan Academy features.</t>
  </si>
  <si>
    <t>MLK High School Library
122 Amsterdam Avenue, 
New York, NY  10023</t>
  </si>
  <si>
    <t>Court Square Training Center
45-18 Court Square West, Room 252
Long Island City, NY  11101</t>
  </si>
  <si>
    <t>9:00 am - 11:30 am</t>
  </si>
  <si>
    <t>MAKERSPACE VISIT: 
Coding for website creation</t>
  </si>
  <si>
    <t>A coding club and Codeacademy flourish at College of Staten Island School for International Studies.  Visit librarian, Patricia Sarles' blog,HTML and CSS Coding Makerspace for a detailed look at this new makerspace in preparation for your site visit.</t>
  </si>
  <si>
    <t>So you’re trying to figure out how to use Khan Academy in your classroom? Developing a clear vision and plan for how you will use Khan Academy is perhaps the most important step to using our site confidently and effectively. We’ve got some ideas to get you started.</t>
  </si>
  <si>
    <t>College of Staten Island School for International Studies Library
100 Essex Drive
Staten Island, NY 10314</t>
  </si>
  <si>
    <t>3:00 pm - 4:00 pm</t>
  </si>
  <si>
    <t>MAKERSPACE VISIT: 
Coding from Scratch and Arduino</t>
  </si>
  <si>
    <t>12:30 pm - 3:00 pm</t>
  </si>
  <si>
    <t>Come learn about Khan Academy's new history material and how it could be helpful for your students and your classrooms. Khan Academy has resources for World History, US History, and Art History teachers. And, for the first time, you can now assign any of these resources to your entire class or to specific students and then get simple, powerful reports about completion and performance on their assignments</t>
  </si>
  <si>
    <t>PS 1X - The Courtlandt School Library
335 East 152nd Street
Bronx, NY  10415</t>
  </si>
  <si>
    <t xml:space="preserve">Microsoft Education Workshop -
Introduction to Sway
</t>
  </si>
  <si>
    <t>MakerBot Headquarters, 1 Metrotech Center 21st Floor Brooklyn, NY 11204</t>
  </si>
  <si>
    <t>Create and share interactive class materials, presentations, projects, and more with Sway. Sway is an intelligent digital storytelling app from Office that is great for project or problem-based learning. Teachers can create interactive web-based lessons, assignments, project recaps, newsletters, and more—right from a phone, tablet, or browser. Students can collaborate and use Sway to create engaging reports, assignments, projects, study materials, and portfolios. Sways are easy to share with the class or the world and look great on any screen. In this workshop, you will learn how to: Create a Sway from start to finish, Collaborate with others on a Sway, Share your finished Sway with others.
This is a hands-on workshop. For the best experience, bring your laptop computer.</t>
  </si>
  <si>
    <t xml:space="preserve">Microsoft Office - 11 Times Square, New York, NY 10036 
Broadway Room
</t>
  </si>
  <si>
    <t xml:space="preserve">5:00 pm - 7:00 pm </t>
  </si>
  <si>
    <t>Participants will be introduced to Google Classroom as a platform to communicate with students, administer assignments and cut down on the user of paper. There will be interactive learning activities utilizing each of its features.</t>
  </si>
  <si>
    <t>P.S. 130 - The Parkside School
70 Ocean Parkway
Brooklyn, NY  11218</t>
  </si>
  <si>
    <t>techplanning.net</t>
  </si>
  <si>
    <t>UFT Center
52 Broadway 
19th Floor, Room A
New York, NY 10004</t>
  </si>
  <si>
    <t>12:00 noon to 3:00 pm</t>
  </si>
  <si>
    <t>9:00 AM - 12:00 PM</t>
  </si>
  <si>
    <t xml:space="preserve">Microsoft Education Workshop -
Flip Your Classroom with Office Mix
</t>
  </si>
  <si>
    <t xml:space="preserve">Flip your classroom quickly and easily with Office Mix!  With Office Mix, you can create digital lessons in PowerPoint with simulations, quizzes, discussions, and more. Quickly share your Office Mix with your students. View on any device and easily differentiate instruction by using Mix analytics. Or mix it up - have students create Mixes for authentic assessment.  Session Objectives:  Gain a basic understanding of Office Mix as a tool to enhance instruction, Examine how Office Mix can aid in flipped classrooms, Explore additional ways to use Office Mix in the classroom.
This is a hands-on workshop. For the best experience, bring your laptop computer.
</t>
  </si>
  <si>
    <t xml:space="preserve">Microsoft Office - 11 Times Square, New York, NY 10036
Belasco Room 6203
</t>
  </si>
  <si>
    <t>Get going with GAFE</t>
  </si>
  <si>
    <t xml:space="preserve">1:00 pm - 4:00 pm </t>
  </si>
  <si>
    <t>SMART Executive Briefing Center
200 Lexington Avenue, Suite 1115
New York, NY 10016</t>
  </si>
  <si>
    <t>MAKERSPACE VISIT:  
Coding</t>
  </si>
  <si>
    <t>Elementary students learn coding in the PS 62 Chester Park elementary school library makerspace.</t>
  </si>
  <si>
    <t>PS 62 Chester Park Elementary Library
97-25 108th Street, South Richmond Hill, NY  11419</t>
  </si>
  <si>
    <t xml:space="preserve">Newsela PRO in the Classroom
</t>
  </si>
  <si>
    <t>Harlem Renaissance Training Center
425 West 123rd Street 6th Floor
(Between Morningside &amp; Amsterdam)</t>
  </si>
  <si>
    <t xml:space="preserve">During this interactive session, educators will learn the ins and outs of Newsela. This includes everything from creating an account to integrating Newsela into day to day instruction. Educators will have time to create activities, ask questions, and work in small groups with the Newsela team. Snacks, Newsela swag, and certificates will be provided to educators who attend the session. 
Educators are encouraged to bring devices to get the most out of this experience. </t>
  </si>
  <si>
    <t>177 Prince Street, New York, NY 10012</t>
  </si>
  <si>
    <t>9:00 am - 11:00 am</t>
  </si>
  <si>
    <t xml:space="preserve">Microsoft Education Workshop - 
Introduction to OneNote
</t>
  </si>
  <si>
    <t xml:space="preserve">Want to go paperless? Looking for a way to revolutionize your teaching and learning?  Experience the power of Microsoft OneNote! A free tool that takes digital notebooks to the extreme while keeping everything together on all of your devices. Organize, create, and collaborate anytime anywhere with text, audio, video, files, digital ink, and so much more! Session Objectives: Gain a basic understanding of how to use OneNote as a personal organizational tool, Gain a basic understanding of how to use OneNote as a collaborative tool, investigate examples of how to use OneNote in the classroom.
This is a hands-on workshop. For the best experience, bring your laptop computer.
</t>
  </si>
  <si>
    <t xml:space="preserve">Microsoft Office - 11 Times Square, New York, NY 10036 
(Between 41 St. and 42 St. on 8th Ave.)
Winter Garden Room
</t>
  </si>
  <si>
    <t xml:space="preserve">5:00 pm - 7:00 pm  </t>
  </si>
  <si>
    <t>Petrides Center - Staten Island
715 Ocean Terrace
Building A Room 326
Staten Island, NY  10301</t>
  </si>
  <si>
    <t>1:00 pm - 3:00 pm</t>
  </si>
  <si>
    <t>MakerBot Headquarters, 1 Metrotech Center 21st Floor Brooklyn, NY 11201</t>
  </si>
  <si>
    <t>4PM-6PM</t>
  </si>
  <si>
    <t>Learn about best practices of Ed tech tools, innovative practices, design thinking, curriculum design, leadership strategies, blended learning in the classroom, maker strategies and implementation and more.</t>
  </si>
  <si>
    <t>High School of Fashion Industries
225 W 24th St, New York, New York 10011</t>
  </si>
  <si>
    <t>EDxED NYC
2016 Education Conference</t>
  </si>
  <si>
    <t>EDxED is a conference for educators run by educators from Hudson High School of Learning Technologies in New York City. This Professional Learning conference features relevant professional development content for all educators — including subject-are teachers, school administrators, physical education teachers, librarians, counselors and arts teachers</t>
  </si>
  <si>
    <t>Hudson High School Of Learning Technologies
351 W 18th St, New York, New York 10011</t>
  </si>
  <si>
    <t>9:00 am - 3:30 pm</t>
  </si>
  <si>
    <t>iZone</t>
  </si>
  <si>
    <t>Get involved with the NYCDOE 3D printing community!
 It's back to school season and MakerBot wants to celebrate with you. Please join us for an evening of food, drinks, and hands-on 3D printing at MakerBot's Downtown Brooklyn headquarters.
 This free event is exclusive to NYCDOE educators and will include 3D printing lessons, lesson plan ideas, learning stations, and the opportunity to network with fellow educators.
 The first 50 attendees to arrive will receive a complimentary copy of our all-new MakerBot Educators Guidebook.
 Space is limited, so be sure to register today!
 *Must register with a NYCDOE email*</t>
  </si>
  <si>
    <t xml:space="preserve">Microsoft Education Workshop - 
Docs.com
</t>
  </si>
  <si>
    <t>Docs.com is an online showroom where you can collect and publish Word documents, Excel workbooks, PowerPoint and Office Mix presentations, OneNote notebooks, PDF files, and Sways. With Docs.com, it’s easy for you to share your instructional resources with other teachers and students your content looks great on any device. Session Objectives: Gain a basic understanding of how to use Doc.com, Investigate examples of how to use Docs.com in the classroom, Investigate instructional resources shared by other educators.
This is a hands-on workshop. For the best experience, bring your laptop computer.</t>
  </si>
  <si>
    <t xml:space="preserve">Microsoft Office - 11 Times Square, New York, NY 10036 
(Between 41 St. and 42 St. on 8th Ave.)
Broadway Room  
</t>
  </si>
  <si>
    <t>12:00 pm - 3:00 pm</t>
  </si>
  <si>
    <t>Project Recess (Santi Khairassame</t>
  </si>
  <si>
    <t>A Deep Dive Into Google Docs &amp; Drive</t>
  </si>
  <si>
    <t>MakerBot Headquarters, 1 Metrotech Center 21st Floor Brooklyn, NY 11203</t>
  </si>
  <si>
    <t>https://www.eventbrite.com/e/smart-learning-suite-basics-and-smart-iq-tickets-37819475068</t>
  </si>
  <si>
    <t xml:space="preserve">Microsoft Education Workshop -
Microsoft Educator Network
</t>
  </si>
  <si>
    <t>Become a connected educator. Learn how the Microsoft Education Network can help you: Stay current with student-focused technology, experiential learning, and virtual collaboration to help your students learn and grow. Search thousands of lesson plans created by educators for educators to help enhance teaching and learning.  Connect with other educators from around the world to share, learn and grow. Earn badges for professional development. Share your unique experience, your background, and your passion for teaching.
This is a hands-on workshop. For the best experience, bring your laptop computer.</t>
  </si>
  <si>
    <t xml:space="preserve">Wednesday, June 22, 2016 
5:00pm-7:00pm 
Microsoft Office - 11 Times Square, New York, NY 10036 
(Between 41 St. and 42 St. on 8th Ave.)
Winter Garden Room
</t>
  </si>
  <si>
    <t xml:space="preserve">Wednesday, June 29, 2016   
5:00pm-7:00pm 
Microsoft Office - 11 Times Square, New York, NY 10036 
(Between 41 St. and 42 St. on 8th Ave.)
Winter Garden Room
</t>
  </si>
  <si>
    <t>SMART Executive Briefing Center
 200 Lexington Avenue
 Suite 1115
 New York, NY 10016</t>
  </si>
  <si>
    <t>The annual School Technology Summit connects educators administrators, and other staff to new ideas, best practices, and each other. In addition to workshops, exhibitors and the annual Excellence in School Technology awards, we’ll have Jaime Casap, Google’s Chief Education Evangelist, as keynote speaker.</t>
  </si>
  <si>
    <t>LaGuardia High School for the Performing Arts
100 Amsterdam Avenue
New York, New York 10023</t>
  </si>
  <si>
    <t>8:00 am - 3:30 pm</t>
  </si>
  <si>
    <t>In this session, you will learn about the basics of the SMART Learning Suite, including SMART Notebook. The session will focus on the updates release in version 17 of the software. You will also learn about the instructional benefits of SMART iQ, including screen-sharing and the Notebook lesson viewer.</t>
  </si>
  <si>
    <t>Google Apps for Education (Beginner/Intermediate)
Topics:
Google Docs, Sheets and Slides
Google Forms
Google Classroom</t>
  </si>
  <si>
    <t>Math for Remote Learning</t>
  </si>
  <si>
    <t>1:30 PM – 4:30 PM</t>
  </si>
  <si>
    <t>Google NYC (Chelsea Market)
75 9th Ave, New York, NY 10011
Wildwood Room</t>
  </si>
  <si>
    <t>Google &amp; Project Recess</t>
  </si>
  <si>
    <t>12 pm - 2:30 pm</t>
  </si>
  <si>
    <t>In this session, you will learn how to use the SMART Learning Suite, include SMART Learning Suite Online, with your classroom Chromebooks. You will learn how to engage students with game-based learning tools and interactive assessments that they can participate in via their devices.</t>
  </si>
  <si>
    <t>3D Printing Lessons and Resources</t>
  </si>
  <si>
    <t>Ultimaker Offices at New Lab
 19 Morris Avenue
 Building 128, Cumberland Gate
 Brooklyn, NY 11205</t>
  </si>
  <si>
    <t>11:00 AM – 12:30 PM</t>
  </si>
  <si>
    <t>Ultimaker and Teq</t>
  </si>
  <si>
    <t>Join Teq and Ultimaker as we cover 3D printing lesson plans and resources perfect for the start of a new school year. You will have the opportunity to network with other educators passionate about STEM and 3D printing. This session is taught by Teq's STEM PD Specialists and covers a range of beginner-level 3D printing lessons and content. This free event is open to all educators. We recommend bringing a laptop or a personal device.</t>
  </si>
  <si>
    <t>"Start Building" - Grow Your 3D Design Skills</t>
  </si>
  <si>
    <t>1:00 PM – 2:30 PM</t>
  </si>
  <si>
    <t>So you own a 3D Printer, now what? If you’re in search of the perfect assignment, design challenge, or skill-builder exercise, the Ultimaker Design Starter Pack will help your students develop problem-solving abilities and get creative. The Design Engine is a card game created to provoke, inspire, and entertain students, educators, 3D designers, artists, and engineers of all experience levels. Specially created for the 2017 back to school season, this classroom resource puts the power of design back into the hands of educators and their students. *Winner will receive a prize. This free event is open to all educators and students. We recommend bringing a laptop or a personal device. *Seats are limited, be sure to register today! The first registrant will receive a complimentary Design Starter Pack.</t>
  </si>
  <si>
    <t>Microsoft Teams for Remote Staff Collaboration</t>
  </si>
  <si>
    <t>The 3D Printing Ecosystem</t>
  </si>
  <si>
    <t>3:00 PM – 4:30 PM</t>
  </si>
  <si>
    <t>A 3D printing ecosystem includes design and slicing software, your printing hardware, print cores, materials, and more. In this session, the 3D printing experts from Ultimaker will walk you through the software (Cura), along with set-up, maintenance, and troubleshooting best practices for 3D printers so you understand how the parts of the 3D printing ecosystem work together. The skills and Cura training you learn can be applied to a broad range of desktop 3D printers. This free event is open to all educators. We recommend bringing a laptop or a personal device. *Seats are limited, be sure to register today!</t>
  </si>
  <si>
    <t>MakerBot Headquarters, 1 Metrotech Center 21st Floor Brooklyn, NY 11202</t>
  </si>
  <si>
    <t>10:00am- 5:00pm</t>
  </si>
  <si>
    <t>Lisa</t>
  </si>
  <si>
    <t>Nielsen</t>
  </si>
  <si>
    <t>lnielsen@schools.nyc.gov</t>
  </si>
  <si>
    <t>#NYCSchoolsTech Summit</t>
  </si>
  <si>
    <t>http://www.schooltechnologysummit.com/</t>
  </si>
  <si>
    <t>Beacon High School (522 West 45th Street)</t>
  </si>
  <si>
    <t>7:30 a.m. - 3:45 p.m.</t>
  </si>
  <si>
    <t>#NYCSchoolsTech Team</t>
  </si>
  <si>
    <t>http://www.schooltechnologysummit.com/schedule</t>
  </si>
  <si>
    <t>Certification Programs</t>
  </si>
  <si>
    <t xml:space="preserve">The #NYCSchoolsTech Partner Certification Program produces expert New York City educators by providing them with best practices in using technology tools and resources they can use in their own practice as well as to support others. </t>
  </si>
  <si>
    <t>The #NYCSchoolsTech Summit connects educators, administrators, and other staff to new ideas, best practices, and each other. In addition to workshops, exhibitors and the annual #NYCSchoolsTech awards, Chancellor Richard A. Carranza will make opening remarks. This year's keynote is DeNora Getachew, New York City Executive Director for Generation Citizen - an advocate for a more inclusive and reflective democracy.</t>
  </si>
  <si>
    <t xml:space="preserve">CTLE </t>
  </si>
  <si>
    <t>Minecraft: Education Edition</t>
  </si>
  <si>
    <t xml:space="preserve">At this event, you’ll learn how to manage Mac computers in your classroom environment and simplify device management using macOS Server and Apple Remote Desktop. You’ll also hear about new Apple hardware and software in the NYC DOE and get helpful troubleshooting advice for the products you already own. 
•        Get information and guidance from Apple technical experts.
•        Learn about new features in macOS Sierra. 
•        Discover new capabilities in macOS that streamline the way you manage and distribute Mac devices.
•        Find out about the latest image creation techniques and troubleshooting options.    
•        Explore best practices for maintaining your devices. 
•        Learn how to get Mac support, find helpful documentation, and explore tutorials for the answers you need
You’ll leave the session with a better understanding of how to deploy Mac in the NYC DOE.
</t>
  </si>
  <si>
    <t xml:space="preserve">Apple Executive Briefing Center
100 Fifth Avenue, 6th Floor
New York, NY 10011
</t>
  </si>
  <si>
    <t>9:00 am - 12:00 pm
(3 hrs PD)</t>
  </si>
  <si>
    <t>Compliance</t>
  </si>
  <si>
    <t xml:space="preserve">At this event, you’ll discover how to streamline iOS device setup and management using Apple School Manager, Apple Configurator, and mobile device management (MDM) solutions.
•        Get information and guidance from Apple technical experts. 
•        Discover new capabilities in iOS 10 that streamline the way you manage and distribute devices and content. 
•        See how Apple School Manager, a simple, web-based portal, makes it easy to buy and distribute content, configure device enrollment settings in your MDM solution, and automatically create Managed Apple IDs for students and staff.
</t>
  </si>
  <si>
    <t>Register for Feb 5 DigIn Camp: Basics</t>
  </si>
  <si>
    <t>9:00 am - 12:00pm</t>
  </si>
  <si>
    <t>DIIT Headquarters
2 Metro Tech, 3rd Floor
Brooklyn, NY 11201
Renaissance  Conferecne room</t>
  </si>
  <si>
    <t>Register for Feb 7 DigIn Camp: Basics</t>
  </si>
  <si>
    <t xml:space="preserve">Full </t>
  </si>
  <si>
    <t>NYC Department of Education 
131 Livingston Street, Lab 208
Brooklyn, NY  11201</t>
  </si>
  <si>
    <t>DIIT &amp; Microsoft</t>
  </si>
  <si>
    <t>Register for Feb 12 DigIn Camp: Basics</t>
  </si>
  <si>
    <t>Register for Feb 26 DigIn Camp: Basics</t>
  </si>
  <si>
    <t>Microsoft Office
11 Times Square, 9th Floor
New York, NY  10036</t>
  </si>
  <si>
    <t>8:30 am - 3:30 pm</t>
  </si>
  <si>
    <t>Register for Feb 28 DigIn Camp: Basics</t>
  </si>
  <si>
    <t>DigIn Camp: Beyond Basics Training Agenda</t>
  </si>
  <si>
    <t>Intro to Digital Accessibility</t>
  </si>
  <si>
    <t>TBD by DCAS</t>
  </si>
  <si>
    <t>DCAS</t>
  </si>
  <si>
    <t>NYC Department of Education 
131 Livingston Street, Lab 208
Brooklyn, NY  11201</t>
  </si>
  <si>
    <t>Register for March 13 DigIn Camp: Basics</t>
  </si>
  <si>
    <t>Register for March 19 DigIn Camp: Basics</t>
  </si>
  <si>
    <t xml:space="preserve">Digital Inclusion (DigIn) Camp: Basic Training </t>
  </si>
  <si>
    <t>eChalk: 25 Broadway, 9th Floor</t>
  </si>
  <si>
    <t>5:00 pm - 8:00 pm</t>
  </si>
  <si>
    <t>eChalk</t>
  </si>
  <si>
    <t>Basic Training: Required of all NYC DOE School Webmasters
Prerequisite for further DigIn Camps such as beyond basics
Topics Include:
- What is Digital Accessibility and what are the requirements for my school’s website?
- Hands-on: How can I test my website’s current accessibility?
- Hands-on: Make initial improvements to your site.</t>
  </si>
  <si>
    <t>DIIT Headquarters
2 Metro Tech, 3rd Floor
Brooklyn, NY 11201
Enterprise Conference Room</t>
  </si>
  <si>
    <t>Website Accessibility</t>
  </si>
  <si>
    <t>Petrides 715 Ocean Terrace Staten Island NY 10314, Building A Room 316</t>
  </si>
  <si>
    <t>Staten Island Borough Office</t>
  </si>
  <si>
    <t>Staten Island District 31 School Webmasters</t>
  </si>
  <si>
    <t>8:30 am- 3:00 pm</t>
  </si>
  <si>
    <t>As part of the NYCDOE's agreement with the Office of Civil Rights, it is our responsibility to support schools in ensuring their website makes progress toward becoming accessible to people with disabilities. We will be hosting an accessibility training to explain the asks and the process of creating/supporting accessible content. Both September 17 and October 2 will cover the same material. This is an introduction to better understand the OCR agreement and how you will move forward within your school and w/your website provider (if you utilize one.)</t>
  </si>
  <si>
    <t>NYCDOE - Ross Berman</t>
  </si>
  <si>
    <t>Jackie Patanio</t>
  </si>
  <si>
    <t>WeWork: 25 Broadway, 9th Floor</t>
  </si>
  <si>
    <t>2:00 pm - 5:00 pm</t>
  </si>
  <si>
    <t>Joseph</t>
  </si>
  <si>
    <t>Sanfilippo</t>
  </si>
  <si>
    <t>jsanfilippo@teq.com</t>
  </si>
  <si>
    <t>Mouse (AF)</t>
  </si>
  <si>
    <t>Digital Inclusion (DigIn) Camp: Basic Training  &amp; Beyond Basics</t>
  </si>
  <si>
    <t>Beyond Basics:
Additional focused hands-on topics to improve your site’s accessibility.
Basic Training: Required of all NYC DOE School Webmasters
Prerequisite for further DigIn Camps such as beyond basics such as beyond basics
Topics Include:
- What is Digital Accessibility and what are the requirements for my school’s website?
- Hands-on: How can I test my website’s accessibility? and  Make initial improvements to your site.</t>
  </si>
  <si>
    <t>Get Going with G Suite 101</t>
  </si>
  <si>
    <t>Grow with Google Learning Center
111 8th Avenue (between 15th &amp;16th St.)
New York, NY 10011
The entrance is on the ground level of the Google office between West 15th Street and West 16th Street.</t>
  </si>
  <si>
    <t>9:00 AM - 3:00 PM</t>
  </si>
  <si>
    <t>Project Recess
&amp; Google</t>
  </si>
  <si>
    <t>This workshop is for those who are new to using G Suite. Participants will engage in interactive activities that explore the essential functions and features of Google Drive, Docs, Slides, Sheets, Forms, Sites, and Classroom!</t>
  </si>
  <si>
    <t>G Suite</t>
  </si>
  <si>
    <t>Jamf1407 Broadway Suite 3700New York, New York 10018</t>
  </si>
  <si>
    <t>9AM-1PM</t>
  </si>
  <si>
    <t>SPOCS</t>
  </si>
  <si>
    <t>Apple Devices</t>
  </si>
  <si>
    <t xml:space="preserve">ASI Systems 
415 2nd Ave
New Hyde Park, NY 11040
</t>
  </si>
  <si>
    <t>10:00 am - 3:15 pm</t>
  </si>
  <si>
    <t>SPOC Meet-up
Manhattan</t>
  </si>
  <si>
    <t>333 7th Avenue
Room 802
New York, NY 10001</t>
  </si>
  <si>
    <t>You are invited to our Borough Field Office for a SPOC Meet-up. At this “Meet-Up” we will be: Meeting and greeting each other, sharing successes and failures, provided updates on all new DIIT technology rollouts and near future projects, and getting your questions answered.</t>
  </si>
  <si>
    <t>Santi</t>
  </si>
  <si>
    <t>Khairassame</t>
  </si>
  <si>
    <t>santi@projectrecessorg</t>
  </si>
  <si>
    <t>Empower Classroom Accessibility &amp; Equity in Accessibility</t>
  </si>
  <si>
    <t>DIIT Headquarters
2 Metro Tech, 3rd Floor
Brooklyn, NY 11201
Renaissance  Conference room</t>
  </si>
  <si>
    <t>677 5th Avenue, Nyew York, NY 10022</t>
  </si>
  <si>
    <t>5:00pm-7:00pm</t>
  </si>
  <si>
    <t>Educators, Central, District Staff</t>
  </si>
  <si>
    <t>Class full</t>
  </si>
  <si>
    <t>Participants will be introduced to Google Apps For Education. They will learn how to register their school, verify their domain, and confirm eligibility. Participants will learn how to get buy-in from administration, get students and staff on board as well as how to notify families.  There will be interactive learning activities focusing on Google Drive.</t>
  </si>
  <si>
    <t>Google New York 
Chelsea Market Space 
75 Ninth Ave, 2nd Floor 
New York, NY 10011</t>
  </si>
  <si>
    <t>8:30 am - 12:00 pm</t>
  </si>
  <si>
    <t>Understanding how Windows 10 has built-in features designed for accessibility and how Microsoft tools can be used for equity in education</t>
  </si>
  <si>
    <t>Getting Started with SAM Labs Maker Kit</t>
  </si>
  <si>
    <t>Online</t>
  </si>
  <si>
    <t>3 - 4 PM</t>
  </si>
  <si>
    <t>NYC DOE Teachers, SPOCs</t>
  </si>
  <si>
    <t>Equipped with exclusive bonus blocks, a variety of sensors, wheels, buttons, and attachments, SAM Labs Maker Kit helps take creativity and engineering to the next level. Join us as we show you how to get making with the SAM Labs Maker Kit!</t>
  </si>
  <si>
    <t>Dave</t>
  </si>
  <si>
    <t>Milne</t>
  </si>
  <si>
    <t>dmilne@echalk.com</t>
  </si>
  <si>
    <t>Beyond Basics:
Additional focused hands-on topics to improve your site’s accessibility.
Basic Training: Required of all NYC DOE School Webmasters
Prerequisite for further DigIn Camps such as beyond basics
Topics Include:
- What is Digital Accessibility and what are the requirements for my school’s website?
- Hands-on: How can I test my website’s current accessibility?
- Hands-on: Make initial improvements to your site.</t>
  </si>
  <si>
    <t>Apple SoHo
103 Prince Street
New York, NY  10012</t>
  </si>
  <si>
    <t>5:00 pm - 7:00 pm</t>
  </si>
  <si>
    <t>2 Metro Tech, 3rd floor
Renaissance Conference Room
Brooklyn, NY 11201</t>
  </si>
  <si>
    <t>Attend CS4All's Hispanic Heritage Celebtration</t>
  </si>
  <si>
    <t>Columbia’s Teacher’s College, 525 West 120th Street, New York, NY 10027</t>
  </si>
  <si>
    <t>NYCDOE Computer Science for All</t>
  </si>
  <si>
    <t>CS4All is excited to announce our Hispanic Heritage Celebration event, the first event of this year's equity series. Attendees will receive computer science resources to use in their schools, hear from special guest speaker Beatris Mendez Gandica from Microsoft about building community and increasing Latino representation in tech fields, learn about "hidden figures" in tech, and participate in hands-on CS activities. Teachers of all grade levels who are interested in learning more about CS and those who teach high populations of Latino and Hispanic students are encouraged to attend.</t>
  </si>
  <si>
    <t>SiteImprove Academy</t>
  </si>
  <si>
    <t>Registration Full</t>
  </si>
  <si>
    <t>333 7th Avenue, 8th Fl Rm 802,     New York, NY 10001</t>
  </si>
  <si>
    <t>Central Staff or School Webmasters who attended DigIn Camp Basic Training</t>
  </si>
  <si>
    <t>If you've been working to make content accessible and are now ready to take it to the next level and become certifiied in digital content accessibility, this opportunity is for you. You will learn about Siteimprove Academy, receive a one-learn license, and have the opportunity to receive certification.</t>
  </si>
  <si>
    <t>Inclusion &amp; Accessiblity</t>
  </si>
  <si>
    <t>Teq Digital Teacher Certification: SMART Exemplary Educator</t>
  </si>
  <si>
    <t>Manhattan</t>
  </si>
  <si>
    <t>9 AM - 3 PM</t>
  </si>
  <si>
    <t>In this exciting one-day course you will learn how to leverage SMART tools in the classroom for student success, and complete the first step to become a SMART Exemplary Educator (SEE).</t>
  </si>
  <si>
    <t>Basic Training:
Required of all NYC DOE School Webmasters
Prerequisite for further DigIn Camps such as beyond basics
Topics Include:
- What is Digital Accessibility and what are the requirements for my school’s website?
- Hands-on: How can I test my website’s current accessibility?
- Hands-on: Make initial improvements to your site.</t>
  </si>
  <si>
    <t>Website Accessibility Workshop</t>
  </si>
  <si>
    <t>28-11 Queens Plaza North- Computer Lab                           Queens, NY 11101</t>
  </si>
  <si>
    <t>8:30 am - 2:30 pm</t>
  </si>
  <si>
    <t>Queens North</t>
  </si>
  <si>
    <t>Webmasters will learn to utilize the Web Content Accessibility Guidelines (WCAG) to revise their school websites.</t>
  </si>
  <si>
    <t>Citizenship in the Digital Age</t>
  </si>
  <si>
    <t>NYPL, 40th Street &amp; 5th Avenue (enter through 40th street loading dock before 10AM), New York, NY, 10018</t>
  </si>
  <si>
    <t>Library Services Team</t>
  </si>
  <si>
    <t>School Librarians, Teachers, Administrators</t>
  </si>
  <si>
    <t>Building the citizens of tomorrow is a critical piece of a school’s mission. Both teaching students how to protect themselves and contribute digitally creates responsible students who are ready for college and prepared to engage with the school community. Join the Library Services Team as we share how our Citizenship in the Digital Age curriculum can support your school in developing cyber ready students and educators prepared to teach them these skills.
This program is eligible for  5 hours of CTLE credit in Pedagogy</t>
  </si>
  <si>
    <t>Digital Citizenship</t>
  </si>
  <si>
    <r>
      <t xml:space="preserve">
</t>
    </r>
    <r>
      <rPr>
        <i/>
      </rPr>
      <t>Student Agency - How self-directed are your students?</t>
    </r>
    <r>
      <t xml:space="preserve"> - December's Innovative Learning Community Discussion
</t>
    </r>
  </si>
  <si>
    <t>New York Public Library - Stephen A. Schwarzman Building
476 5th Avenue
Enter through loading dock on 40th street before 10AM
New York, NY 10018</t>
  </si>
  <si>
    <t>9:00am - 3:00 PM</t>
  </si>
  <si>
    <t>NYCDOE Library Services Team</t>
  </si>
  <si>
    <t>3:30-4:30 PM or 6:30-7:30 PM</t>
  </si>
  <si>
    <t>Librarians, Educators</t>
  </si>
  <si>
    <t>Please join NYC DOE in an engaging hands on training!
Building the citizens of tomorrow is a critical piece of a school’s mission. Both teaching students how to protect themselves and contribute digitally creates responsible students who are ready for college and prepared to engage with the school community. Join the Library Services Team as we share how our Citizenship in the Digital Age curriculum can support your school in developing cyber ready students and educators prepared to teach them these skills.
This program is eligible for 5 hours of CTLE credit in Pedagogy
The New York City Department of Education is recognized by the New York State Education Department's Office of Teaching Initiatives as an approved sponsor of CTLE for Professional Classroom Teachers, School Leaders and Level III Teaching Assistants.</t>
  </si>
  <si>
    <t>Google Educator Group (GEG) Meetup October</t>
  </si>
  <si>
    <t>Digital Inclusion (DigIn) Camp: Beyond Basics</t>
  </si>
  <si>
    <t xml:space="preserve">HRTC @ 05M125
425 West 123rd Street
6th Floor
NY, NY 10027
</t>
  </si>
  <si>
    <t xml:space="preserve">Discover how to make accessible content for their website and more. This includes how to create accessible images, videos, formatting. Participants will also receive a report indicating how accessible their school website currently is. </t>
  </si>
  <si>
    <t>Free Computer Science Education Week Training!</t>
  </si>
  <si>
    <t>Intrepid Sea, Air &amp; Space Museum Pier 86, W 46th St, New York, NY 10036</t>
  </si>
  <si>
    <t>8:30 a.m. - 3:30 p.m.</t>
  </si>
  <si>
    <t>Computer Science Education Week (CSEdWeek) is an annual week dedicated to inspiring K-12 students to learn computer science and get introduced to the multitude of opportunities it offers. Join thousands of schools across the world this year by hosting an event for your students! Don’t know CS or how to plan an event? No problem! CS4All is offering NYC public school teachers a one-day professional development opportunity where attendees will get an overview of CSEdWeek, fun hands-on activities to do with students, and additional information and resources to plan an incredible event.  This opportunity is open to schools that have not recieved training from NYCDOE's CS4All initiative. Teachers of all grade levels are welcome to attend.</t>
  </si>
  <si>
    <t>Website Accessibility Summit</t>
  </si>
  <si>
    <t>HRTC @ 05M125
425 West 123rd Street
6th Floor
NY, NY 10027</t>
  </si>
  <si>
    <t>DIIT &amp; CDW</t>
  </si>
  <si>
    <t>Wagner Middle School
220 East 76th Street
New York, NY 10021</t>
  </si>
  <si>
    <t>8:30 - 3:30</t>
  </si>
  <si>
    <t>DIIT and Tech &amp; Learning</t>
  </si>
  <si>
    <t>School webmasters and content contributors come together to discover practices and platforms that will make school websites user-friendly and accessible to all including those with disabilities and who speak languages other than English.</t>
  </si>
  <si>
    <t>TBD - Manhattan</t>
  </si>
  <si>
    <t>NYCDOE and Tech &amp; Learning</t>
  </si>
  <si>
    <t>School webmasters and website content providers</t>
  </si>
  <si>
    <t xml:space="preserve">131 Livingston Street 2nd Fl, Rm 208A Brooklyn, NY 11201 </t>
  </si>
  <si>
    <t>BrainPOP Digital Citizenship</t>
  </si>
  <si>
    <t>BrainPOP 71 w 23rd street 17th floor</t>
  </si>
  <si>
    <t>9:00 - 12:00</t>
  </si>
  <si>
    <t>BrainPOP</t>
  </si>
  <si>
    <t>NYC DOE Community</t>
  </si>
  <si>
    <t>Teaching safe and responsible use of technology is a major component of 21st century education. To support you, BrainPOP offers a Digital Citizenship collection consisting of topics ranging from Social Media and Cyberbullying to Information Privacy, Digital Etiquette, and more.  This hands on workshop explores how to use resources in the collection to build students’ background knowledge and apply what they learn through activities, games and digital projects. You will be able to take what you learn in this workshop to help students to discover in fun and interactive ways how to behave responsibly and safely in a world that is increasingly digital.</t>
  </si>
  <si>
    <t>Free online event</t>
  </si>
  <si>
    <t>10:00 am - 3:30 pm</t>
  </si>
  <si>
    <t>SPOC Meet-up Staten Island
(TEQ focused)</t>
  </si>
  <si>
    <t>Neverware
112 West 27th Street
New York, NY  10001</t>
  </si>
  <si>
    <t>10:30 am - 12:30 pm</t>
  </si>
  <si>
    <t>Building A- The Michael J. Petrides School, 715 Ocean Terrace, Staten Island NY 10301 316</t>
  </si>
  <si>
    <t>8:30am - 12:30pm</t>
  </si>
  <si>
    <t>Staten Island Webmasters &amp; Content Providers</t>
  </si>
  <si>
    <t>As part of the NYCDOE’s agreement with the Office of Civil Rights, it is our responsibility to support schools in ensuring their website makes progress toward becoming accessible to people with disabilities. We will be hosting an accessibility website on September 17 and October 2.They will be the same session so participants only need attend one day.</t>
  </si>
  <si>
    <t>SPOC Meet-up Queens
(Jamf &amp; Teq focus)</t>
  </si>
  <si>
    <t>Due to low registration, this is cancelled</t>
  </si>
  <si>
    <t>Apple 
100 Fifth Avenue - 6th Floor
New York, NY 10011</t>
  </si>
  <si>
    <t>SPOC Meet-up Bronx
(Google Focused)</t>
  </si>
  <si>
    <t xml:space="preserve">John Dewey High School
50 Avenue X
Brooklyn, NY  11223
</t>
  </si>
  <si>
    <t>Rockaway Plaza
8201 Rockaway Boulevard, Room 201C
Ozone Park, NY 11416</t>
  </si>
  <si>
    <t>677 5th Avenue, New York, NY 10022</t>
  </si>
  <si>
    <t>SPOC Meet-up MHT
(Google Focused)</t>
  </si>
  <si>
    <t>333 7th Avenue
New York, NY 10001</t>
  </si>
  <si>
    <t>Postponed due to weather</t>
  </si>
  <si>
    <t>53rd Street Library                18 W. 53rd St.                           New York, NY 10019</t>
  </si>
  <si>
    <t>Google/     Project Recess</t>
  </si>
  <si>
    <t>Agency staff that are interested in targeting their web content to a wider audience</t>
  </si>
  <si>
    <t>onlinepd@teq.com</t>
  </si>
  <si>
    <t>TO BE RESCHEDULE</t>
  </si>
  <si>
    <t>G Suite Admin</t>
  </si>
  <si>
    <t>Hofstra University
225 Hofstra University Engineering Department 
Hempstead, NY 11549</t>
  </si>
  <si>
    <t>8:30 am - 4:30 pm</t>
  </si>
  <si>
    <t>9:00 a.m. - 3:00pm</t>
  </si>
  <si>
    <t xml:space="preserve">G Suite Super Admins </t>
  </si>
  <si>
    <t>4:00 pm - 6:00 pm</t>
  </si>
  <si>
    <t>Beyond Basics:
Additional focused hands-on topics to improve your site’s accessibility."
Basic Training: Required of all NYC DOE School Webmasters
Prerequisite for further DigIn Camps such as beyond basics
Topics Include:
- What is Digital Accessibility and what are the requirements for my school’s website?
- Hands-on: How can I test my website’s accessibility and Make initial improvements to your site.</t>
  </si>
  <si>
    <t>Digital Inclusion (DigIn) Camp: Beyond Basics 1 &amp; 2</t>
  </si>
  <si>
    <t>Apple
100 Fifth Avenue, 6th Floor 
New York, NY  10011</t>
  </si>
  <si>
    <t>09:00 am - 12:00 pm</t>
  </si>
  <si>
    <t>Make My Existing Google Site Accessible &amp; Other Accessibility Tools</t>
  </si>
  <si>
    <t xml:space="preserve">Discover how to make accessible content specifically for the New Google Sites. This includes how to create accessible images, videos, formatting. We will also explore other tools that can be used in a G Suite environment to support accessibility. </t>
  </si>
  <si>
    <t>Inclusion &amp; Accessibility
G Suite</t>
  </si>
  <si>
    <t>Queens webmasters</t>
  </si>
  <si>
    <t>02/21/2017 - 02/23/2017</t>
  </si>
  <si>
    <t>SPOC Meet-up Queens
(G Suite, Chromebook and TEQ focus)</t>
  </si>
  <si>
    <t>Stuyvesant High School
345 Chambers Street
New York, NY  10282-1000</t>
  </si>
  <si>
    <t>9:00 am  - 4:00 pm</t>
  </si>
  <si>
    <t>Apple Soho
103 Prince Street
New York, NY  11012</t>
  </si>
  <si>
    <t>Offered By i.e. DIIT, MFSC, STEM, CS4All, Bronx FSC</t>
  </si>
  <si>
    <t>Audience (if limited i.e. FSCs, parent coordinators, guidance)</t>
  </si>
  <si>
    <t>Link to Agenda or Event</t>
  </si>
  <si>
    <t>Maria</t>
  </si>
  <si>
    <t>Turner</t>
  </si>
  <si>
    <t>mturner@ncce.org</t>
  </si>
  <si>
    <t>8/16/2018- 8/17/2018</t>
  </si>
  <si>
    <t>Microsoft Hacking STEM Summer Workshop</t>
  </si>
  <si>
    <t>Registration FULL</t>
  </si>
  <si>
    <t>Microsoft Office (11 Times Square, New York, NY 10036)</t>
  </si>
  <si>
    <t>9:00 am - 5:00 pm</t>
  </si>
  <si>
    <t xml:space="preserve">Microsoft Office
Winter Garden Conf Room MBC
11 Times Square, 9th Floor
New York, NY  10044
</t>
  </si>
  <si>
    <t>NYCDOE/Microsoft Partnership</t>
  </si>
  <si>
    <t>https://tinyurl.com/yb5drhxa</t>
  </si>
  <si>
    <t>Not sure</t>
  </si>
  <si>
    <t>This two-day workshop provides a dynamic, hands-on learning experience for educators designed to equip teachers with tools and techniques that they can immediately use to modernize their own curriculum. The workshop aims to provide learning experiences that prepare educators with the skills to leverage Microsoft technology and positively impact student learning.
Read more at tinyurl.com/HackingSTEMSummer</t>
  </si>
  <si>
    <t>Kyle</t>
  </si>
  <si>
    <t>Liao</t>
  </si>
  <si>
    <t>kliao@educatellc.com</t>
  </si>
  <si>
    <t>Innovative Teaching Co-op - August 2018</t>
  </si>
  <si>
    <t>St. Peter's, School
204 Hawthorne Ave, Yonkers, New York 10705</t>
  </si>
  <si>
    <t>4:30pm-7:30pm</t>
  </si>
  <si>
    <t>Educate LLC (www.educatellc.com)</t>
  </si>
  <si>
    <t>K-12 teachers, school administrators, instructional support teams</t>
  </si>
  <si>
    <t>https://www.eventbrite.com/e/innovative-teaching-co-op-monthly-meetup-end-of-summer-tickets-47923010013</t>
  </si>
  <si>
    <t>Required of all NYC DOE School Webmasters
Topics Include:
- What is Digital Accessibility and what are the requirements for my school’s website?
- How can I test my website’s current accessibility and make initial improvements to my site.
Prerequisite for further DigIn Camps such as beyond basics</t>
  </si>
  <si>
    <t>DIIT Office
2 Metro Tech, 3rd Floor
Brooklyn, NY 11201
Enterprise Conference Room</t>
  </si>
  <si>
    <t>New York Institute of Technology
16 W 61st St 11th Floor 
New York, New York 10019</t>
  </si>
  <si>
    <t>Join us for an End of Summer celebration! We will be at a great location with a rooftop patio, steps from the Metro North. Parking is also available.
The Innovative Teaching Co-op Monthly Meetup is a free event series in which educators will have the opportunity to collaborate around great teaching and the sophisticated use of digital resources to innovate our schools and prepare students for success. Instructional Technology Coaches from Educate will be on hand to facilitate conversation, provide resources, and share best practices.</t>
  </si>
  <si>
    <t>Beyond Basics:
Additional focused hands-on topics to improve your site’s accessibility.
Prerequisite: Basic Training</t>
  </si>
  <si>
    <t>Tom</t>
  </si>
  <si>
    <t>O'Connell</t>
  </si>
  <si>
    <t>tom.oconnell@mouse.org</t>
  </si>
  <si>
    <t>Google CS First Professional Development with Mouse</t>
  </si>
  <si>
    <t>Engaging English-Language Learners with iPad</t>
  </si>
  <si>
    <t>Mouse, 55 Broad Street, 16th Floor, New York, NY 10004</t>
  </si>
  <si>
    <t xml:space="preserve">9:30am - 12:30pm </t>
  </si>
  <si>
    <t>CS4All + Mouse + Google</t>
  </si>
  <si>
    <t>Educators of students grades 4-9</t>
  </si>
  <si>
    <t>https://mouse.org/csfirst</t>
  </si>
  <si>
    <t>Engaging ELLs with iPad</t>
  </si>
  <si>
    <t>More than ever, teachers are using iPad to create interactive and engaging learning experiences for their English-language learners. Come to this event to see how Apple can make supporting English learners more accessible, relevant, and personal.</t>
  </si>
  <si>
    <t>Google and Mouse are proud to partner to offer CS First professional development events for educators! CS First is a free, easy-to-use computer science curriculum that is designed to engage a diverse student population in grades 4-9 with Scratch.</t>
  </si>
  <si>
    <t>Full</t>
  </si>
  <si>
    <t>Develop Image Makeover</t>
  </si>
  <si>
    <t>DIIT Office 
2 Metro Tech, 3rd Floor
Brooklyn, NY 11201
Renaissance Conference room</t>
  </si>
  <si>
    <t>Harlem Renaissance Training Center
425 West 123rd Street (Between Morningside and Amsterdam)  6th Floor</t>
  </si>
  <si>
    <t>Trainers, district level</t>
  </si>
  <si>
    <t>tinyurl.com/digitalimagemakeoverclass</t>
  </si>
  <si>
    <t>Register Here</t>
  </si>
  <si>
    <t>CANCELLED
A new date will be listed soon.</t>
  </si>
  <si>
    <t>Apple Soho
103 Prince Street
New York, NY 10012</t>
  </si>
  <si>
    <t>Ensuring that your school website is accessible to all!</t>
  </si>
  <si>
    <t>Register for Dec 13 Ensuring that your school website is accessible to all</t>
  </si>
  <si>
    <t>131 Livingston Street Brooklyn, NY 11201</t>
  </si>
  <si>
    <t>Participants learn how to go on a digital diet that will result in a digital makeover that will leave them looking fabulous online.  They will learn how to support superintendents, principals, and staff in doing the same.</t>
  </si>
  <si>
    <t xml:space="preserve">Brooklyn North Borough Office </t>
  </si>
  <si>
    <t>Brooklyn Webmasters &amp; Content Providers</t>
  </si>
  <si>
    <t xml:space="preserve">As part of the DOE’s ongoing work to ensure that all NYC school websites are accessible to people with disabilities, Brooklyn North will be hosting Digital Inclusion (#DigIn) Camps. Theses sessions are hands-on and help participants learn about what digital accessibility is and who it affects, as well as receive training on how to create accessible digital content. </t>
  </si>
  <si>
    <t>Register for Dec 13 Website Accessibility Workshop</t>
  </si>
  <si>
    <t>Deploying iOS in NYCDOE</t>
  </si>
  <si>
    <t>Queens North Borough Office</t>
  </si>
  <si>
    <t xml:space="preserve">Microsoft Office
Winter Garden 5412
11 Times Square, 
New York, NY  10044
</t>
  </si>
  <si>
    <t>8:00 am - 4:00 pm</t>
  </si>
  <si>
    <t>100 Fifth Avenue - 6th Floor  New York, NY 10011</t>
  </si>
  <si>
    <t>1:00 p.m. - 4:00 p.m. EDT</t>
  </si>
  <si>
    <t>SPOCs</t>
  </si>
  <si>
    <t>Microsoft Offices
11 Times Square
Music Box, Room 5411
NY, NY 10036</t>
  </si>
  <si>
    <t>9:00 am - 03:00pm</t>
  </si>
  <si>
    <t>Hear from Apple about the latest features for education in iOS and tvOS. 
Get started with the enhanced Classroom app for iPad that provides more ways to guide learning, share work, and management of student devices.
See how Apple School Manager, a single destination for administrators, can simplify and streamline deployment.
Learn how tvOS makes it simple to configure Apple TV for common school scenarios.
Hear about education programs and resources from Apple, including Apple Teacher and Everyone Can Code.
Participate in discussions about deployment best practices for your school and district.</t>
  </si>
  <si>
    <t xml:space="preserve">DIIT Office
2 Metro Tech, 3rd Floor
Brooklyn, NY 11201
Renaissance Conference room
</t>
  </si>
  <si>
    <t>Deploying Mac in the NYCDOE</t>
  </si>
  <si>
    <t>Be Internet Awesome</t>
  </si>
  <si>
    <t>Grow with Google
111 8th Avenue
New York, NY 10011
The entrance is on the ground level of the Google office between West 15th Street and West 16th Street.</t>
  </si>
  <si>
    <t>100 Fifth Avenue 6th Floor</t>
  </si>
  <si>
    <t>9:00am - 12:00pm</t>
  </si>
  <si>
    <t>To make the most of the Internet, kids need to be prepared to make smart decisions. Be Internet Awesome is a Google platform that teaches young people the fundamentals of digital citizenship and safety so they can explore the online world with confidence. Come join this workshop to explore and learn how you can share this resource with your school.</t>
  </si>
  <si>
    <t>Digital Citizenship
G Suite</t>
  </si>
  <si>
    <t>Register for Dec 17 DigIn Camp: Basic Training</t>
  </si>
  <si>
    <t>Join us to hear what’s new from Apple and share best practices for deploying Apple devices in schools.
Hear strategies for troubleshooting common software and hardware issues.
Explore Apple Remote Desktop and see how it can simplify management of Mac devices.
Learn how education programs and resources from Apple, including Teacher Tuesdays, Apple Teacher, and Everyone Can Code can support your curriculum.
Participate in discussions about deployment best practices for your school and district.</t>
  </si>
  <si>
    <t>Required of all NYC DOE School Webmasters
Topics Include:
- What is Digital Accessibility and what are the requirements for my school’s website?
- How can I test my website’s current accessibility and make initial improvements to my site.
Prerequisite for further DigIn Camps such as beyond basics</t>
  </si>
  <si>
    <t>Beyond Google: Got G-Suite. Now What?</t>
  </si>
  <si>
    <t>Mosaic Prep Academy
141 E 111th St, New York, NY 10029</t>
  </si>
  <si>
    <t>Apple Soho
103 Prince Street
New York, NY  10012</t>
  </si>
  <si>
    <t>Digital Inclusion (DigIn) Camp: Basic Training  &amp; Beyond Basics 1</t>
  </si>
  <si>
    <t>Register for Dec 18 DigIn Camp: Basic Training &amp; Beyond Basics</t>
  </si>
  <si>
    <t xml:space="preserve">This workshop is intended for folks who are new to using G Suite. Participants will engage in interactive activities that explore the essential functions and features of Google Drive, Docs, Slides, Sheets, Forms, Sites, and Classroom! </t>
  </si>
  <si>
    <t>Get Going with Google/G Suite 101</t>
  </si>
  <si>
    <t>Basic Training: Required of all NYC DOE School Webmasters
Prerequisite for further DigIn Camps such as beyond basics
Topics Include:
- What is Digital Accessibility and what are the requirements for my school’s website?
- Hands-on: How can I test my website’s accessibility and make initial improvements to my site.
Beyond Basics:
Additional focused hands-on topics to improve your site’s accessibility.</t>
  </si>
  <si>
    <t xml:space="preserve">9am-3pm </t>
  </si>
  <si>
    <t>This workshop is intended for folks who are new to using G Suite. Participants will engage in interactive activities that explore the essential functions and features of Google Drive, Docs, Slides, Sheets, Forms, Sites, and Classroom!</t>
  </si>
  <si>
    <t xml:space="preserve">Santi </t>
  </si>
  <si>
    <t>santi@projectrecess.org</t>
  </si>
  <si>
    <t>Register for DCAS Intro to Digital Accessibility here</t>
  </si>
  <si>
    <t>NYCDOE, Google &amp;
Project Recess</t>
  </si>
  <si>
    <t>9:00 am -
12:00 pm</t>
  </si>
  <si>
    <t>Google Educator Group (GEG) Meetup December</t>
  </si>
  <si>
    <t>This workshop is intended for folks who are new to using G Suite. Participants will engage in interactive activities that explore the essential functions and features of Google Drive, Docs, Slides, Sheets, Forms, Sites, and Classroom! If you have questions, please contact santi@projectrecess.org</t>
  </si>
  <si>
    <t>Microsoft Innovative Educator Teacher Academy</t>
  </si>
  <si>
    <t>Microsoft Store  677 Fifth Ave. (Between E. 53rd and E. 54th St.)</t>
  </si>
  <si>
    <t>All teachers</t>
  </si>
  <si>
    <t>https://tinyurl.com/y9gof76u</t>
  </si>
  <si>
    <t>EDxED NYC 2017
Hudson High School of Learning Technologies 
351 West 18th Street (b/t 8th &amp; 9th Ave)
New York, NY  10011</t>
  </si>
  <si>
    <t xml:space="preserve">Participants learn about the tools Microsoft has to offer students and teachers. Teachers will reflect and create a customized toolkit resources to increase engagement, efficiency and develop modern skills for a global classroom/society.  Participants will engage in a series of immersive learning activities that will build a strong understanding of how to use technology to improve instruction and meet the needs of their students.
Note: This is an introductory course intended to expose teachers to Microsoft offerings for education. This is not a deep-dive instruction into any one tool. Additional trainings and resources will be provided throughout the day for educators who would like to learn more. </t>
  </si>
  <si>
    <t>Google Admin/ATS Sync</t>
  </si>
  <si>
    <t>New Visions for Public Schools 205 E 42nd St, New York, NY 10017</t>
  </si>
  <si>
    <t>Google/        Project Recess / New Visions</t>
  </si>
  <si>
    <t>Microsoft Office
11 Times Square, 
Winter Garden 5412
New York, NY  10044</t>
  </si>
  <si>
    <t>Apple 100 5th Avenue, 6th Floor, New York, NY 10011</t>
  </si>
  <si>
    <t>9:00 a.m. - 12:00 p.m</t>
  </si>
  <si>
    <t>Apple, Inc</t>
  </si>
  <si>
    <t>DOE teachers</t>
  </si>
  <si>
    <t>SPOC Mobicle Device Management Workshop</t>
  </si>
  <si>
    <t>LiveTiles Offices
60 Madison Avenue, #801
New York, NY 10010</t>
  </si>
  <si>
    <t>10:00 am - 2:00 pm</t>
  </si>
  <si>
    <t>Join us at this hands-on event to learn about tools and resources from Apple that allow all students to explore, communicate, and create in new and powerful ways.</t>
  </si>
  <si>
    <t>Office 365 Teacher Academy</t>
  </si>
  <si>
    <t>Petrides Complex Building A
Room 118
715 Ocean Terrace
Staten Island, NY 10301</t>
  </si>
  <si>
    <t>9:00 am -3:00 pm</t>
  </si>
  <si>
    <t>https://tinyurl.com/ycqu9w9l</t>
  </si>
  <si>
    <t xml:space="preserve">This five-hour academy is designed to give educators an understanding of how Office 365 can provide the right environment for better learning outcomes. With Office 365, educators will learn how to become more innovative with cloud-based tools, regardless of the device they use.  It is aimed at educators for whom Office 365 is relatively new and who are looking to implement solutions to classroom problems right away. This training will explore Office 365 through hands-on activities that will introduce educators to OneDrive for Business, Office Online, Forms, Sway, OneNote and Class notebook, as well as get a high-level overview of other tools that can enhance a classroom environment. </t>
  </si>
  <si>
    <t>1 Fordham Plaza,
Room 819
Bronx, NY 10458</t>
  </si>
  <si>
    <t>Alex</t>
  </si>
  <si>
    <t>Torres</t>
  </si>
  <si>
    <t>alex.torres@mouse.org</t>
  </si>
  <si>
    <t>Google CS First Workshop (FREE)</t>
  </si>
  <si>
    <t>Mouse Office. 55 Broad St. Floor 16. NY, NY 10004</t>
  </si>
  <si>
    <t>9:30am-12:30pm</t>
  </si>
  <si>
    <t>Mouse</t>
  </si>
  <si>
    <t>Teachers of students grade 4  - 9</t>
  </si>
  <si>
    <t>https://goo.gl/forms/5kXvEIq0etvqiuwf1</t>
  </si>
  <si>
    <t>Propose a Workshop for the #NYCSchoolsTech Summit
which will be held on July 26, 2017
LaGuardia High School
100 Amsterdam Avenue
New York, NY 10023</t>
  </si>
  <si>
    <t>7:30 am - 3:35 pm</t>
  </si>
  <si>
    <t>CS First is a free, easy-to-use computer science curriculum that is designed to engage a diverse student population in grades 4-8 (ages 9-14). Teachers use modular videos to teach kids foundational computer science concepts and coding basics with Scratch, a block-based coding tool.
Google and Mouse are proud to partner to offer professional development events for educators across the country! The following events are already scheduled, so pick an event in your location and sign up using the corresponding link.</t>
  </si>
  <si>
    <t>Deploying iOS in the NYCDOE</t>
  </si>
  <si>
    <t>Nominate someone for the Excellence in School Technology Award - Presented at the #NYCSchoolsTech Summit
which will be held on July 26, 2017
LaGuardia High School
100 Amsterdam Avenue
New York, NY 10023</t>
  </si>
  <si>
    <t>Apple 100 Fifth Avenue - 6th Floor  New York, NY 10011</t>
  </si>
  <si>
    <t>Hear from Apple about the latest features for education in iOS and tvOS. 
Get started with the enhanced Classroom app for iPad that provides more ways to guide learning, share work, and management of student devices.
See how Apple School Manager, a single destination for administrators, can simplify and streamline deployment.
Learn how tvOS makes it simple to configure Apple TV for common school scenarios.
Hear about education programs and resources such as Apple Teacher and Everyone Can Code.
Participate in discussions about deployment best practices for your school and district.</t>
  </si>
  <si>
    <t>100 Fifth Avenue - 6th Floor  New York, NY 1001</t>
  </si>
  <si>
    <t>9:00 a.m. - 12:00 p.m. EDT</t>
  </si>
  <si>
    <t>Digital Accessibility Certification via SiteImprove Aaademy</t>
  </si>
  <si>
    <t xml:space="preserve">131 Livingston Street, 2nd Fl, Rm 208A Brooklyn, NY 11201
</t>
  </si>
  <si>
    <t>9:00 pm - 12:00 pm</t>
  </si>
  <si>
    <t>Get Grants with Donors Choose</t>
  </si>
  <si>
    <t xml:space="preserve"> Mosaic Prep Academy 
141 E 111th St, New York, NY 10029</t>
  </si>
  <si>
    <t xml:space="preserve">Educators will gain valuable resources for their students and share DonorsChoose.org with other teachers in their community. Participants will provide you with all the tools and strategies necessary to use DonorsChoose.org like an expert.
</t>
  </si>
  <si>
    <t>Topics include: 
- What is Digital Accessibility and what are the requirements for my school’s website?
- Hands-on: How can I test my website’s accessibility and make initial improvements to your site.
Prerequisite for further DigIn Camps such as beyond basics</t>
  </si>
  <si>
    <t>Getting Started managing Macs</t>
  </si>
  <si>
    <t>Microsoft Meetup</t>
  </si>
  <si>
    <t>Apple 100 Fifth Avenue, 6th Floor  New York, NY 10011</t>
  </si>
  <si>
    <t>10:00 a.m. - 12:00 p.m.</t>
  </si>
  <si>
    <t>Microsoft New York Office 11 Times Square, 6th floor</t>
  </si>
  <si>
    <t xml:space="preserve">Urban Science Academy
1000 Teller Avenue, Room 316
Bronx, NY  
</t>
  </si>
  <si>
    <t>4:00 pm - 5:30 pm</t>
  </si>
  <si>
    <t>5:00pm - 7:30pm</t>
  </si>
  <si>
    <t>Educators, SPOCS</t>
  </si>
  <si>
    <t>Register for Jan 17 DigIn Camp: Basic Training</t>
  </si>
  <si>
    <t>WAITLISTED: Digital Accessibility Certification via SiteImprove Academy</t>
  </si>
  <si>
    <t>An event designed for SPOCs that are new to using Mac devices or considering their first Mac purchase.</t>
  </si>
  <si>
    <t>Intro to G Suite Admin Console</t>
  </si>
  <si>
    <t>K-12 teachers, school admins, instructional support teams</t>
  </si>
  <si>
    <t>You've registered your school for a G Suite account. Now what? This workshop will explore how to create student and teacher accounts, enable privacy features for each app, run data reports and more! You will get the most out of this workshop if you are a G Suite Super Admin in your domain. If you have questions, please contact santi@projectrecess.org</t>
  </si>
  <si>
    <t>Microsoft Teams Meet Up &amp; Twitter Chat</t>
  </si>
  <si>
    <t>5:00 pm-8:00 pm</t>
  </si>
  <si>
    <t>K-12 teachers, school administrators, instructional support teams, SPOCs</t>
  </si>
  <si>
    <t>1407 Broadway, Suite 3700. New York, NY 10018</t>
  </si>
  <si>
    <t>If you work at the NYCDOE, you have access to Microsoft's powerful Teams. Come join us to discover how you can build community in your school, effectively run professional learning communities, and implement best practices with Teams. 
Joining us from Microsoft Headquarters is Product Manager Dominic Williamson. You'll be able to provide direct first-hand feedback and meet the man behind the product. 
You'll also learn everything you need to bring Teams back to your school and hear directly from your colleagues on their successes and implementation secrets.
The evening ends with a live Twitter Chat. Don't know how to chat on Twitter? We'll hold your hand and get you sending power Tweets in no time.
Register today to save your spot. Spaces are limited.</t>
  </si>
  <si>
    <t>Using Microsoft Teams with Staff Members</t>
  </si>
  <si>
    <t>https://tinyurl.com/ya3t7mqq</t>
  </si>
  <si>
    <t>Learn how to use Apple School Manager to set up devices and deploy content. Discover how Content Caching can quickly deploy apps and updates.
Explore how Jamf Pro can be used to group and manage your devices, users, or specific groups.</t>
  </si>
  <si>
    <t>Digital Inclusion (DigIn) Camp: Beyond Basics 1</t>
  </si>
  <si>
    <t>Register for Jan 22 DigIn Camp: Beyond Basics</t>
  </si>
  <si>
    <t>DigIn Camp Beyond Basics Agenda</t>
  </si>
  <si>
    <t>How do we support teachers and staff who are challenged to stay up to date in an increasingly collaborative and mobile environment? Microsoft Teams creates an ideal digital hub for teachers and staff to share information, enhance communication, and interact in a rich and engaging online space. Participants will engage in a series of immersive learning activities that will build a strong understanding of how to use Microsoft Teams to enhance communication, work collaboratively and keep everyone informed and engaged.</t>
  </si>
  <si>
    <t>Register for Jan 24 DigIn Camp: Basic Training</t>
  </si>
  <si>
    <t xml:space="preserve">Alex </t>
  </si>
  <si>
    <t>Register for Jan 24 SiteImprove Academy</t>
  </si>
  <si>
    <t>https://goo.gl/forms/FW52eOwfo8RUCVFD3</t>
  </si>
  <si>
    <t>Harlem Renaissance Training Center (HRTC)
425 West 123rd Street, New York, NY 10027
6th Floor</t>
  </si>
  <si>
    <t>9:00 am - 2:30 pm</t>
  </si>
  <si>
    <t>Make My Existing Wordpress.com Site Accessible</t>
  </si>
  <si>
    <t>Register for Jan 27 Make My Wordpress Site Accessible</t>
  </si>
  <si>
    <t>DIIT &amp; Wordpress.org</t>
  </si>
  <si>
    <t>iLearn/iZone Innovation Institute</t>
  </si>
  <si>
    <t xml:space="preserve">Discover how to migrate your existing website content onto the Wordpress.com platform using the NYC DOE template. </t>
  </si>
  <si>
    <t>John Dewey High School
50 Avenue X, Brooklyn, New York 11223</t>
  </si>
  <si>
    <t>NewsLitCamp® in New York City!</t>
  </si>
  <si>
    <t>8:30 am -  3 pm</t>
  </si>
  <si>
    <t>All Teachers</t>
  </si>
  <si>
    <t>Coming Soon</t>
  </si>
  <si>
    <t xml:space="preserve">Learn about innovative classroom strategies and instructional practices that incorporate edtech tools from experienced pedagogues in the field. The Innovation Institute will have an AM and PM session. Each session will be 2.5 hours in duration. </t>
  </si>
  <si>
    <t>Michael</t>
  </si>
  <si>
    <t>Dodes</t>
  </si>
  <si>
    <t>mdodes2@schools.nyc.gov</t>
  </si>
  <si>
    <t>2018 Fall Library Conference: School Libraries Inspire Dreamers</t>
  </si>
  <si>
    <t>Citifield, 123-01 Roosevelt Ave, Queens, NY 11368</t>
  </si>
  <si>
    <t>8:30am-3:00pm</t>
  </si>
  <si>
    <t>731 Lexington Ave, New York, NY 10022-1265</t>
  </si>
  <si>
    <t>8:30 - 3:30 pm</t>
  </si>
  <si>
    <t>NewsLit Project</t>
  </si>
  <si>
    <t xml:space="preserve"> https://nycdoe.libguides.com/2018fallconference</t>
  </si>
  <si>
    <t>Teacher-centered NewsLitCamp featuring breakout sessions with experienced journalists. This program is one in a national series of NewsLitCamps led by the News Literacy Project in collaboration with a diverse group of news organizations around the country.</t>
  </si>
  <si>
    <t>News Lit</t>
  </si>
  <si>
    <t>Innovate wtih Microsoft Teams Education Roadshow</t>
  </si>
  <si>
    <t>Join us for a day filled with concurrent sessions, author and illustrator panels, author signings, networking opportunities, and over 50 plus exhibitors. Chancellor Richard Carranza will be kicking off this amazing day and acclaimed author, Yuyi Morales will be closing the day.</t>
  </si>
  <si>
    <t>Microsoft New York Office
11 Times Square, 6th floor</t>
  </si>
  <si>
    <t>9:30 a.m. - 3:00 p.m.</t>
  </si>
  <si>
    <t>Educators and SPOCs</t>
  </si>
  <si>
    <t>Innovate with Microsoft Teams Education Roadshow</t>
  </si>
  <si>
    <t>Teaching and learning - learn how Microsoft Teams has been used to streamline staff collaboration and improve student outcomes. Discover the latest tools for teaching and how to open them up and manage them for your staff and students. Sessions will include Teams 101, best practices and more.
IT administrators – get details on the latest administrative capabilities to manage Microsoft Teams. Learn how to integrate your own applications, automate governance and deploy telephony across your organization. Sessions will include Teams 101, best practices, security and governance and more.</t>
  </si>
  <si>
    <t>Create an Accessible Wordpress.com Site</t>
  </si>
  <si>
    <t>Register for Jan 29 Wordpress Workshop</t>
  </si>
  <si>
    <t>9 am -  3 pm</t>
  </si>
  <si>
    <t>Discover how to make accessible content for your Wordpress.com site. This includes:
 - How to create accessible images, videos, and formatting. 
 - How to migrate to the NYC DOE template.</t>
  </si>
  <si>
    <t>Register for Make my Wordpress Site Accessible</t>
  </si>
  <si>
    <t>Celebrate Election Day and Media Literacy Week by finding out which digital citizenship provider is right for your students. Supporting students with digital citizenship instruction isn’t just the right thing to do, it’s required. In accordance with Federal and State regulations, every school must educate students in grades K–12 about appropriate online behavior, including responsible use of social networking websites and cyber-bullying awareness. There are so many providers.  Which should you choose to ensure your students are engaging safely and responsibly online?</t>
  </si>
  <si>
    <t>OneNote Teacher Academy</t>
  </si>
  <si>
    <t>https://tinyurl.com/ybm542kb</t>
  </si>
  <si>
    <t>WAITLISTED: DigIn Camp - Basic Training</t>
  </si>
  <si>
    <t>9:00 am - 11:30am</t>
  </si>
  <si>
    <t>Cancelled: Digital Accessibility Certification via SiteImprove Academy</t>
  </si>
  <si>
    <t>Teachers and students will develop the basic skills needed to use OneNote as a productivity tool for both themselves and their students. Time will be devoted to assist a teacher in understanding how OneNote can be used as a true collaborative tool. Interactive lessons will be created using the tools in OneNote that will then immediately transfer to classroom practice. Finally, teachers will experience and discover how Professional Learning Communities can be more productive when using OneNote to drive content delivery and creation.  
At the end of the day, participants should leave feeling comfortable and knowledgeable in the basic skills necessary to be up and running successfully using OneNote in the classroom, and as a professional tool.</t>
  </si>
  <si>
    <t>Getting Started Managing Macs</t>
  </si>
  <si>
    <t>Cancelled: Digital Inclusion (DigIn) Camp: Beyond Basics 1</t>
  </si>
  <si>
    <t>Inclusive Classroom Academy (Accessibility features throughout Office 365</t>
  </si>
  <si>
    <t xml:space="preserve">Register for Feb 11 Inclusive Classroom Academy </t>
  </si>
  <si>
    <t>10:00 a.m. - 12:00 p.m</t>
  </si>
  <si>
    <t>Microsoft Store - Fifth Avenue 677 Fifth Avenue New York, NY 10022-4210</t>
  </si>
  <si>
    <t>3:30pm - 5:00pm</t>
  </si>
  <si>
    <t>Webmasters and content providers</t>
  </si>
  <si>
    <t xml:space="preserve">-Educators will learn the accessibility tools available throughout Office 365 including Reading, Writing, Math, and Communication features
-During this 90 minute session, educators will learn hands on how to utilize O365 accessibility tools in their classroom to support all learners
-Educators will learn online resources where they can connect with other MIE educators and continue their Microsoft Education professional development courses 
</t>
  </si>
  <si>
    <t>Register for SiteImprove Academy</t>
  </si>
  <si>
    <t>Annual summit for #NYCSchools staff to share, connect, and celebrate.</t>
  </si>
  <si>
    <t>LaGuardia High School
100 Amsterdam Avenue
(between 65th and 64th Street)
New York, NY  10023</t>
  </si>
  <si>
    <t>Ensuring Your School Website is Accessible to All</t>
  </si>
  <si>
    <t>7:30 am - 3:45 pm</t>
  </si>
  <si>
    <t>HRTC - 425 West 123rd Street between Morningside &amp; Amsterdam; 6th Floor</t>
  </si>
  <si>
    <t>DIIT / QNFSC</t>
  </si>
  <si>
    <t>Digital Inclusion (DigIn) Camp: Beyond Basics 1 
(Note: Takes place during midwinter recess)</t>
  </si>
  <si>
    <t>Webmasters / Trainers</t>
  </si>
  <si>
    <t>Register for Feb 19 DigIn Camp: Beyond Basics</t>
  </si>
  <si>
    <t xml:space="preserve">Improve news literacy skills, discover resources for teaching news literacy and get ideas and input for new resources. </t>
  </si>
  <si>
    <t>Beyond Basics:
Additional focused hands-on topics such as color contrast, formatting, to improve your site’s accessibility.</t>
  </si>
  <si>
    <t>Time Inc. 
225 Liberty Street, 2nd Floor
New York, NY 10281</t>
  </si>
  <si>
    <t>8:00 am - 3:00 pm</t>
  </si>
  <si>
    <t>DigIn Camp - Basic Training: (Midwinter Recess: M)</t>
  </si>
  <si>
    <t>Register for Feb 20 DigIn Camp: Basics</t>
  </si>
  <si>
    <t>2:00 pm - 4:30pm</t>
  </si>
  <si>
    <t xml:space="preserve">Find out what it takes to ensure your school's website is accessible to all. All schools are required to have an accessible website by 2020. </t>
  </si>
  <si>
    <t>WAITLISTED: DigIn Camp - Basic Training: (Midwinter Recess: M)</t>
  </si>
  <si>
    <t>SPOC Meet-up
Brooklyn</t>
  </si>
  <si>
    <t>Register for Feb 21 DigIn Camp: Basics</t>
  </si>
  <si>
    <t>10:30AM-1:30PM</t>
  </si>
  <si>
    <t>131 Livingston Street, 
Room 403
Brooklyn, NY 11201</t>
  </si>
  <si>
    <t>MIE Teacher Academy (O365 Education tools, Accessibility Features &amp; More)</t>
  </si>
  <si>
    <t>Register for Feb 22 MIE Teacher Academy</t>
  </si>
  <si>
    <t>10:00am - 1:00pm</t>
  </si>
  <si>
    <t xml:space="preserve">-Educators will learn Microsoft Education tools designed to help teachers save time in the classroom on Microsoft Teams, OneNote, Forms, and accessibility features throughout Office 365
-During this 3 hour session, educators will learn hands on how to access Office 365 education tools and apply the education features built in to save time and support all learners
-Educators will also learn the online resources where they can connect with other MIE educators and continue their Microsoft Education professional development courses
</t>
  </si>
  <si>
    <t>Jackie</t>
  </si>
  <si>
    <t>Patanio</t>
  </si>
  <si>
    <t>JPatanio@schools.nyc.gov</t>
  </si>
  <si>
    <t>Web Accessibility</t>
  </si>
  <si>
    <t>Register for SI Feb 24th</t>
  </si>
  <si>
    <t>Staten Island Borough Office 715 Ocean Terrace, Staten Island NY 10301 Building A Room 316</t>
  </si>
  <si>
    <t>8:30 AM - 12:00 pm</t>
  </si>
  <si>
    <t>School Web Master</t>
  </si>
  <si>
    <t>Web Accessibility Agenda</t>
  </si>
  <si>
    <t>As part of the NYCDOE's agreement with the Office of Civil Rights, it is our responsibility to support schools in ensuring their website makes progress toward becoming accessible to people with disabilities. We will be hosting an accessibility website on February 24. This is the Basic DigIn camp to get participants exposed to What is Accessibility, Intro of Alt text, Site Evaluation and more!</t>
  </si>
  <si>
    <t xml:space="preserve">1:00 p.m. - 4:00 p.m. EST </t>
  </si>
  <si>
    <t>Register for Feb 26 Digital Accessibility Makeover</t>
  </si>
  <si>
    <t>Digital Accessibility Makeover Agenda</t>
  </si>
  <si>
    <t>131 Livingston Street Computer Lab 208A Brooklyn, NY 11201</t>
  </si>
  <si>
    <t>WAITLISTED: DigIn Camp - Beyond Basics 2</t>
  </si>
  <si>
    <t>131 Livingston St 2nd Floor Room 208A Brooklyn, NY 11201</t>
  </si>
  <si>
    <t>SPOC Meet-up Queens
(Jamf focus)</t>
  </si>
  <si>
    <t>Accessibility Teacher Academy</t>
  </si>
  <si>
    <t>Making a learning environment accessible for everyone is a must as today's classrooms are diverse and include English Language Learners and students with special needs. In fact, teachers already have technologies to help with this at their disposal. This session will help teachers recognize just how easy it is to ensure that all learning materials are accessible to everyone. These simple steps could make a significant impact for the people who need accessible materials and all learners.</t>
  </si>
  <si>
    <t>SPOC Meet-up Bronx
(TEQ Focused)</t>
  </si>
  <si>
    <t>1 Fordham Plaza,
Room 838
Bronx, NY 10458</t>
  </si>
  <si>
    <t>Brooklyn Sharefest for Innovative Teaching</t>
  </si>
  <si>
    <t>Grand Street Campus High School  850 Grand Street  Brooklyn, NY 11211</t>
  </si>
  <si>
    <t>3:30pm-7:30pm</t>
  </si>
  <si>
    <t>Brooklyn FSC, Brooklyn North HS's, College Access 4 All, Educate LLC</t>
  </si>
  <si>
    <t>SPOC Meet-up MHT
Smart Hardware/Smart software Troubleshooting tips</t>
  </si>
  <si>
    <t>Middle schools and high schools</t>
  </si>
  <si>
    <t>333 7th Avenue
Room 1207 (12th floor)
New York, NY 10001</t>
  </si>
  <si>
    <t>The Brooklyn North Winter Sharefest is a celebration of the instructional progress that teachers in 7 Brooklyn North high schools have made while being supported by Supt. Janice Ross’s district office, the College Access for All initiative, the Brooklyn FSC, and coaches from Educate. This unique event is inspired in part by the monthly educator meetups that Educate has hosted for the past two years, and promises to be an evening of inspiration, collaboration, and sharing of best practices.</t>
  </si>
  <si>
    <t>Teams Teacher Academy</t>
  </si>
  <si>
    <t>https://tinyurl.com/y74jc7ce</t>
  </si>
  <si>
    <t>Google Educator Group (GEG) Meetup January</t>
  </si>
  <si>
    <t>How do we support teachers and students who are challenged to learn in an increasingly collaborate and mobile environment? Microsoft Teams creates an ideal digital hub for teachers to deliver instruction, enhance learning, and interact in a rich and engaging online space. Participants will engage in a series of immersive learning activities that will build a strong understanding of how to use Microsoft Teams to improve instruction and meet the learning needs of their students. </t>
  </si>
  <si>
    <t>SPOC Meet-up
Queens</t>
  </si>
  <si>
    <t>Linden Place
30-48 Linden Place 
Queens NY 11354
Room 513</t>
  </si>
  <si>
    <t xml:space="preserve"> Pear Deck &amp; Be Internet Awesome: Digital Citizenship for Every Classroom with Risa Bennett</t>
  </si>
  <si>
    <t>Grow with Google New York City Learning Center                                 111 8th Avenue, New York, NY 10011</t>
  </si>
  <si>
    <t>12:30pm- 3:00pm</t>
  </si>
  <si>
    <t>Pear Deck @ Google</t>
  </si>
  <si>
    <t xml:space="preserve"> Be Internet Awesome &amp; Pear Deck: Getting Started with Digital Citizenship with Shannon Millert</t>
  </si>
  <si>
    <t>Grow with Google New York City Learning Center                                 111 8th Avenue, New York, NY 10012</t>
  </si>
  <si>
    <t>9:00am-12:00pm</t>
  </si>
  <si>
    <t xml:space="preserve"> Be Internet Awesome &amp; Pear Deck: Media Specialists and Librarian Workshop with Shannon Miller</t>
  </si>
  <si>
    <t>https://events.apple.com/content/events/us_education/us/en/k20-everyone-can-code-2018---land/k20-everyone-can-code-2018---rgst.html?token=RHKUXcykzEpV0YBkmqJ9w9u6xi4fhVRIxQAC9Ht38PRVKAT534Ot7jvzmi_7qHTCutmdk1efqjUp-eTl24y--T7y9ppnHdntkT4BcvSp7I6EpyJHLwenVpuEl8VXYaGH&amp;a=1&amp;l=r</t>
  </si>
  <si>
    <t>Grow with Google New York City Learning Center                                 111 8th Avenue, New York, NY 10013</t>
  </si>
  <si>
    <t>3:00pm-4:30pm</t>
  </si>
  <si>
    <t>Be Internet Awesome Administrator Workshop: Building a Culture of Digital Citizenship with Adam Lindstrom</t>
  </si>
  <si>
    <t>Grow with Google New York City Learning Center                                 111 8th Avenue, New York, NY 10014</t>
  </si>
  <si>
    <t>Engaging STEM Learners with iPad</t>
  </si>
  <si>
    <t>Teaching STEM builds job skills that are in high demand. Join us for a hands-on event where you’ll see how you can use iPad to engage STEM students like never before. Discover how you can deliver relevant, exciting STEM lessons that encourage creativity, mathematical thinking, and problem solving.</t>
  </si>
  <si>
    <t>STEM</t>
  </si>
  <si>
    <t>Apple After Hours Meet Up</t>
  </si>
  <si>
    <t>Explore Apple’s free and comprehensive coding curriculum at this hands-on event. We created Everyone Can Code curriculum to help you teach coding to students. With teacher guides and lessons, you can introduce the basics on iPad, then advance to building real apps on Mac. Whether your students are first-time coders or aspiring app developers, you’ll have all the tools you need to teach coding in your classroom</t>
  </si>
  <si>
    <t>SPOC Meet-up
Bronx</t>
  </si>
  <si>
    <t>5:00 pm- 8:00 pm</t>
  </si>
  <si>
    <t xml:space="preserve">Integrating Apple devices and programs into everyday instruction. </t>
  </si>
  <si>
    <t>February 24th, 2020</t>
  </si>
  <si>
    <t>100 Fifth Avenue 6th Floor New York, New York 10011</t>
  </si>
  <si>
    <t>9AM -1PM</t>
  </si>
  <si>
    <t>Mobile Device Management (MDM) is an exciting new way to manage all your Apple devices this coming school year. Join Apple and Jamf as they demonstrate how to configure and secure your entire fleet of Apple devices with Apple School Manager, Content Caching, and Jamf Pro.</t>
  </si>
  <si>
    <t xml:space="preserve">1:00 p.m. - 4:00 p.m. </t>
  </si>
  <si>
    <t>Come to Microsoft's office to work with and meet other great educators. The session will be primarily led by educators and the goal of the session will be to expose you to features in the 365 environment.  Above all, you will connect with other folks and get ideas about how to engage your students and improve your work-flow.</t>
  </si>
  <si>
    <t>Google Educator Group (GEG) Meetup February</t>
  </si>
  <si>
    <t xml:space="preserve">9:00 a.m. - 12:00 p.m. </t>
  </si>
  <si>
    <t>Lori</t>
  </si>
  <si>
    <t>Stahl-Van Brackle</t>
  </si>
  <si>
    <t>lstahlvanbrackle@schools.nyc.gov</t>
  </si>
  <si>
    <t>Intro to 3D Printing for School Techs and SPOCs</t>
  </si>
  <si>
    <t>333 7th Ave. Rm 802</t>
  </si>
  <si>
    <t>9 am - 2 pm</t>
  </si>
  <si>
    <t>MFSC</t>
  </si>
  <si>
    <t>School Techs and SPOCs</t>
  </si>
  <si>
    <t xml:space="preserve">The MFSC is hosting a Intro to 3D Printing PLO for SPOCs and school Techs on Dec. 26th. We'll be exploring two 3D Printers, and how they work. We'll also look at TinkerCad and some of the developments with the software. </t>
  </si>
  <si>
    <t>lstahlvanbrackle@strongschools.nyc</t>
  </si>
  <si>
    <t>Maker Ed Edcamp</t>
  </si>
  <si>
    <t>PS 84 Lillian Webber School 32 West 9nd Street, NYC</t>
  </si>
  <si>
    <t>10 am - 2 pm</t>
  </si>
  <si>
    <t>Teachers and Admin</t>
  </si>
  <si>
    <t>The MFSC is hosting Maker Ed Edcamp at PS 84 on Dec. 27th from 10am - 2pm. We will have a variety of workshops pitched by attendees and MFSC Maker Ed Cohort members. We will also be hosting a Maker Ed Edcamp Jr. where children of educators attending workshops can Make a variety of projects including light up masks and paper roller coasters. CTLE credits will be awarded. For more information go to mfscmakered.org/maker-ed-edcamp</t>
  </si>
  <si>
    <t>Access Abilities</t>
  </si>
  <si>
    <t>More students are coming to school with a varying array of abilities. And teachers are exploring new ways to not only support these learners, but to also personalize every student’s learning experience. At Apple, we believe that technology should be accessible to everyone. Join us at this hands-on event to learn about tools and resources from Apple that allow all students to explore, communicate, and create in new and powerful ways.</t>
  </si>
  <si>
    <t>Apple After Hours</t>
  </si>
  <si>
    <t>Apple Executive Briefing Center
100 5th Avenue (6th floor)
Between 15th and 16th Street</t>
  </si>
  <si>
    <t>Apple Inc</t>
  </si>
  <si>
    <t>Come join teachers from across the DOE at Apple NYC HQ
There will be breakout sessions facilitated by DOE teachers and the Apple Team. See below for topics.
Topics include: 
Apple Device Basics, Workflows (Office365 &amp; GSuite) with Apple, Everyone Can Code, Every Can Create, Apple Certification, Apple at ISTE, Mobile Device Management and more!. </t>
  </si>
  <si>
    <t>TBD</t>
  </si>
  <si>
    <t>SPOC Meet-up MHT
Google Focus</t>
  </si>
  <si>
    <t>333 7th Avenue
Room 802 (Computer Lab)
New York, NY 10001</t>
  </si>
  <si>
    <t>WAITLISTED: Digital Inclusion (DigIn) Camp: Beyond Basics</t>
  </si>
  <si>
    <t>Register for March 13 DigIn Camp: Beyond Basics</t>
  </si>
  <si>
    <t>DigIn Camp Beyond Basics Agendas</t>
  </si>
  <si>
    <t>Create an Accessible Wix Site</t>
  </si>
  <si>
    <t>Register for March 13 Digital Accessibility Certification</t>
  </si>
  <si>
    <t>DIIT &amp; Wix</t>
  </si>
  <si>
    <t>Discover how to make accessible content for your Wix site. This includes:
 - How to create accessible images, videos, and formatting. 
 - How to migrate to the NYC DOE template.</t>
  </si>
  <si>
    <t>9:00 am - 11:30pm</t>
  </si>
  <si>
    <t>Make My Existing Wix Site Accessible</t>
  </si>
  <si>
    <t xml:space="preserve">Discover how to migrate your existing website content onto the Wix platform using the NYC DOE template. </t>
  </si>
  <si>
    <t>Modern Classroom Display Tech</t>
  </si>
  <si>
    <t xml:space="preserve">Harlem Renaissance Training Center (HRTC) 
@ 05M125
425 W123rd Street, 6th Fl
New York, NY 10027
</t>
  </si>
  <si>
    <t>WAITLISTED: DigIn Camp: Intermediate 1</t>
  </si>
  <si>
    <t>DigIn Camp: Intermediate 1 Agenda</t>
  </si>
  <si>
    <t>Additional focused hands-on topics such as video captioning, effective translation, translated captions</t>
  </si>
  <si>
    <t xml:space="preserve">We are having our 3rd Annual event to educate schools on some of the available option in classroom display technology. During the event we will attempt to demonstrate how this technology adds value within the classroom and enhances the “teaching and learning experience”
The day will provide a perspective of current and emerging products, trends, directions and best practices as seen in classrooms throughout the country.  You will have an opportunity to hear from the top selling vendor community, ask and hear questions posed by a DOE moderator, and see product demonstrations. </t>
  </si>
  <si>
    <t>25 Broadway 9th fl New York, NY 10004</t>
  </si>
  <si>
    <t>DigIn Camp: Website Accessibility Staten Island</t>
  </si>
  <si>
    <t>Petrides Campus 715 Ocean Terrace Staten Island Building A Room 316</t>
  </si>
  <si>
    <t>8:30-12:30</t>
  </si>
  <si>
    <t>School Designated Webmasters</t>
  </si>
  <si>
    <t>https://docs.google.com/spreadsheets/d/12X-61HfLBxTxAESoAea0X2I4K1R-valRhC9TIkvFTzs/edit#gid=0</t>
  </si>
  <si>
    <t>As part of the NYCDOE's agreement with the Office of Civil Rights, it is our responsibility to support schools in ensuring their website makes progress toward becoming accessible to people with disabilities. We will be hosting an accessibility website on December 19.This is same session as 9/17 and 11/12 so participants only need attend one day.</t>
  </si>
  <si>
    <t>10:00 a.m. - 1:00 p.m. EST</t>
  </si>
  <si>
    <t>Beginners with Apple technology</t>
  </si>
  <si>
    <t>Hear from Apple about everything you need to know regarding Mac basics. You’ll also have the opportunity to network with other schools deploying Apple devices. Hear strategies for troubleshooting common software and hardware issues and discover support resources for further assistance.</t>
  </si>
  <si>
    <t>Rescheduled to 2/26/2019</t>
  </si>
  <si>
    <t>Learn about the latest information on Apple products in the NYCDOE.
Hear strategies for troubleshooting common software and hardware issues.
Explore Apple Remote Desktop and see how it can simplify management of Mac devices.
Participate in discussions about deployment best practices for your school and district.</t>
  </si>
  <si>
    <t>Get started with the enhanced Classroom app for iPad that provides more ways to guide learning, share work, and management of student devices.
See how Apple School Manager can simplify and streamline deployment.
Hear about education programs and resources from Apple, including Apple Teacher and Everyone Can Code.</t>
  </si>
  <si>
    <t>Digital Inclusion (DigIn) Camp: Basic Training
(Note: Takes place during midwinter recess)</t>
  </si>
  <si>
    <t>Explore Apple’s new, free and comprehensive curriculum at this hands-on event.  Everyone Can Create guides students to develop and communicate ideas through video, photography, music, and drawing. And they help ignite creativity by giving teachers fun and meaningful ways to bring these skills into any lesson, topic, or assignment.</t>
  </si>
  <si>
    <t>G Suite 201: Intermediate/
Advanced Users 🔥💪🏽</t>
  </si>
  <si>
    <t>Project Recess, 
NYC DOE, 
&amp; Google</t>
  </si>
  <si>
    <t>This workshop is intended for existing users of G Suite that are looking to deepen their learning. Participants will engage in interactive activities that explore advanced functions and features of Google Drive, Docs, Slides, Sheets, Forms, Sites, and Classroom! We'll also look at various Google add-ons and extensions that can streamline your workflow.</t>
  </si>
  <si>
    <t>10:30 pm - 1:30 pm</t>
  </si>
  <si>
    <t>Deploying Mac in the NYC DOE</t>
  </si>
  <si>
    <t>SPOCS, CUNY Interns, PCS Vendors</t>
  </si>
  <si>
    <t>Hear from Apple about strategies for troubleshooting software and hardware issues. Explore Apple Remote Desktop and see how it can simplify management of Mac devices. Discover best practices for Apple deployment. Learn about deployment best practices for your school and district.</t>
  </si>
  <si>
    <t>Deploying iOS in the NYC DOE</t>
  </si>
  <si>
    <t>1:00 - 4:00 p.m. EST</t>
  </si>
  <si>
    <t>Hear from Apple about the latest features for education in iOS and tvOS. You’ll have the opportunity to network with other schools deploying Apple devices. Get started with the enhanced Classroom app for iPad that provides more ways to guide learning, share work, and management of student devices.</t>
  </si>
  <si>
    <t xml:space="preserve">Explore Apple’s free and comprehensive coding curriculum at this hands-on event. We created Everyone Can Code curriculum to help you teach coding to students. With teacher guides and lessons, you can introduce the basics on iPad, then advance to building real apps on Mac. Whether your students are first-time coders or aspiring app developers, you’ll have all the tools you need to teach coding in your classroom. </t>
  </si>
  <si>
    <t>SPOC Meet-up
Bronx (Apple)</t>
  </si>
  <si>
    <t>You are invited to our Borough Field Office for a SPOC Meet-up. At this “Meet-Up” we will be: Meeting and greeting each other, sharing successes and failures, provided updates on all new DIIT technology rollouts and near future projects, given a Apple JAMF demo and getting your questions answered.</t>
  </si>
  <si>
    <t>131 Livingston Street, 
Room 508
Brooklyn, NY 11201</t>
  </si>
  <si>
    <t>You are invited to our Borough Field Office for a SPOC Meet-up. At this “Meet-Up” we will be: Meeting and greeting each other, sharing successes and failures, provided updates on all new DIIT technology rollouts and near future projects, G-Suite conversation with Google, DIIT Cherwell conversation, Instructional Technology Conversation and getting your questions answered.</t>
  </si>
  <si>
    <t>Khairasssame</t>
  </si>
  <si>
    <t>Intro to Google's G Suite Admin Console 🔥🔧</t>
  </si>
  <si>
    <t>Registration opens 60 days prior to class</t>
  </si>
  <si>
    <t xml:space="preserve">9:00 a.m. - 12:00 p.m. EDT </t>
  </si>
  <si>
    <t>Digital Inclusion (DigIn) Camp: Beyond Basics 2</t>
  </si>
  <si>
    <t>1:00 am - 4:00 pm</t>
  </si>
  <si>
    <t>Digital Inclusion (DigIn) Camp: Beyond Basics 3</t>
  </si>
  <si>
    <t>SPOC Meet-up
Manhattan (Apple)</t>
  </si>
  <si>
    <t>You are invited to our Borough Field Office for a SPOC Meet-up. At this “Meet-Up” we will be: Meeting and greeting each other, sharing successes and failures, provided updates on all new DIIT technology rollouts and near future projects, given an Apple Suite overview and getting your questions answered.</t>
  </si>
  <si>
    <t>SPOCS, Administrators</t>
  </si>
  <si>
    <t>5:00 p.m. - 8:00 p.m.</t>
  </si>
  <si>
    <t>All</t>
  </si>
  <si>
    <t>You are invited to Apple After Hours: 4/17/19! This month’s event will cover everything you need to know about managing your devices from Apple School Manager to Mobile Device Management. We will have a special guest from JAMF software to talk about the power of MDM and the new offerings, exclusive to NYCDOE schools. Come join us!</t>
  </si>
  <si>
    <t xml:space="preserve">Learning by Making Series
by pi-top
</t>
  </si>
  <si>
    <t>501 Union Street, Brooklyn, NY 11231</t>
  </si>
  <si>
    <t>6:30 PM – 9:00 PM EDT</t>
  </si>
  <si>
    <t>TEQ</t>
  </si>
  <si>
    <t>ALL</t>
  </si>
  <si>
    <t>see registration</t>
  </si>
  <si>
    <t>Join us for an evening of thought-provoking talks, exploration, and refreshments. With the advent of the Fourth Industrial Revolution, we'll discuss how we can nurture the competences needed for learners to thrive in the 21st century and beyond.</t>
  </si>
  <si>
    <t>SPOC Meet-up
Manhattan (Google)</t>
  </si>
  <si>
    <t>Talks will also look into the impact of learning by making in the classroom and how it can help improve learner agency and outcomes.</t>
  </si>
  <si>
    <t>SPOC Meet-up
Bronx (Google)</t>
  </si>
  <si>
    <t>You are invited to our Borough Field Office for a SPOC Meet-up. At this “Meet-Up” we will be: Meeting and greeting each other, sharing successes and failures, provided updates on all new DIIT technology rollouts and near future projects, given a Google G Suite demo and getting your questions answered.</t>
  </si>
  <si>
    <t>Let's Talk Jamf Session 1- Intro</t>
  </si>
  <si>
    <t>Webinar</t>
  </si>
  <si>
    <t>3-3:30 EST</t>
  </si>
  <si>
    <t>Jamf/Apple</t>
  </si>
  <si>
    <t>Learn what Jamf is, why use Jamf and how it works with Apple School Manager and SCOUT.</t>
  </si>
  <si>
    <t>Let's Talk Jamf Session 2- Managing iOS Devices</t>
  </si>
  <si>
    <t>Learn managing iOS devices with Jamf, app push out, manage settings of iOS devices, how to remotely lock down devices.</t>
  </si>
  <si>
    <t>Microsoft Education Summit</t>
  </si>
  <si>
    <t>11 Times Square</t>
  </si>
  <si>
    <t>8:00 - 6:00 pm</t>
  </si>
  <si>
    <t>SPOCs, Educators</t>
  </si>
  <si>
    <t>Learn about the latest technology trends that are impacting K-12 institutions and experience the exciting classroom technologies like AR/VR and Mixed Reality. You will have time to network with industry experts and you peers form NYC, NY State, and New Jersey during lunch and cocktail reception.</t>
  </si>
  <si>
    <t>Let's Talk Jamf Session 3 - managing macOS Devices</t>
  </si>
  <si>
    <t>macOS devices with Jamf. Similar to iOS, info on what you can do, how to set settings and push out content to end users of the devices.</t>
  </si>
  <si>
    <t>Engaging English- Language Learners with iPad</t>
  </si>
  <si>
    <t>More than ever, teachers are using iPad to create interactive and engaging learning experiences for their English-language learners. Come to this event to see how Apple can make supporting English learners and their families more accessible, relevant, and personal</t>
  </si>
  <si>
    <t>SPOC Meet-up
Staten Island (Google)</t>
  </si>
  <si>
    <t>Google Level 1 Certification</t>
  </si>
  <si>
    <t>Tottenville High School
100 Luten Avenue
Staten Island, NY 10312</t>
  </si>
  <si>
    <t>9 am – 2 pm</t>
  </si>
  <si>
    <t>Teachers/SPOCS</t>
  </si>
  <si>
    <t>Beyond the Beginner! Join us for a deep dive into G Suite with this full day professional development opportunity. Explore various Google Applications that will assist in transforming your classroom as well as other aspects of your professional life. Basic knowledge and understanding of Google is recommended but not necessary to participate in this learning opportunity. Learning activities will be provided to help you explore areas of Google that may be new to you or to refresh your Google abilities.
Seats are limited. Please unenroll in the event you are not able to attend after registration.</t>
  </si>
  <si>
    <t>Jamf Session 4 - What's Next</t>
  </si>
  <si>
    <t>Session 4 will be an outro session. Wrap up what was covered in the sessions and look at next steps.</t>
  </si>
  <si>
    <t>SPOC Meet-up (Google)
Queens</t>
  </si>
  <si>
    <t xml:space="preserve">This session brings borough specific SPOCs together to learn and share. During this session, DIIT field resources will lead various technology discussions. These discussions will be interactive, so bring your enthusiasm and passion. 
…and always, it will provide you with resources and best practices to take back to your school. </t>
  </si>
  <si>
    <t>Getting Started with 3D Printing with Makerbot</t>
  </si>
  <si>
    <t xml:space="preserve">Makerbot Headquarters
1 MetroTech Center
Brooklyn, NY 11201
</t>
  </si>
  <si>
    <t>9:30 AM – 11:00 AM EDT</t>
  </si>
  <si>
    <t>MarkerBot</t>
  </si>
  <si>
    <t>Adding a 3D printer (or two, or more!) to your classroom is exciting, and perhaps even a bit stressful. Once it’s set up, starting printing can be a challenge. Deciding who should print and how long it will take to get everyone’s prints completed can get complicated, even in a small class. We’ll help you manage the print process with your Makerbot Replicator+, from student creation to finalized prints, still warm from the print bed. This session is NYS CTLE approved. You will receive 1.5 CTLE hours for participating in this course.</t>
  </si>
  <si>
    <t>Google Level 2 Certification</t>
  </si>
  <si>
    <t>This course is intended for educators who have been actively using Google in their classroom and would like to prepare themselves for employing Google Apps in more depth. This workshop will prepare
participants with the skills needed to take a successfully pass the Google Certified Educator Examination. Do you want to prove your expertise? This Certification is for you!
Seats are limited. Please unenroll in the event you are not able to attend after registration.</t>
  </si>
  <si>
    <t>#NYCSchoolsTech Summit on Digital Accessibility &amp; Inclusion</t>
  </si>
  <si>
    <t>Harlem Renaissance Training Center
425 West 123rd Street (Btwn Morningside &amp; Amsterdam) 6th Fl</t>
  </si>
  <si>
    <t>School Webmasters, Educators, Parent Coordinators</t>
  </si>
  <si>
    <t>When it comes to accessibility and inclusion, It can be hard to sort through all the resources available to figure out what really works for your school or classroom. Join us to hear straight from each provider’s mouth about why their resource may be right for you. They will each make their case via a presentation, workshops, and hands on demos. In attendance will be: Apple, Google, Microsoft, BrainPop, PBS/WNET, and TEQ</t>
  </si>
  <si>
    <t>Hear from Apple about the latest features for education in iOS and tvOS. 
Get started with the enhanced Classroom app for iPad that provides more ways to guide learning, share work, and management of student devices. See how Apple School Manager, a single destination for administrators, can simplify and streamline deployment. Learn how tvOS makes it simple to configure Apple TV for common school scenarios. Hear about education programs and resources from Apple, including Apple Teacher and Everyone Can Code. Participate in discussions about deployment best practices for your school and district.</t>
  </si>
  <si>
    <t>Deploying Mac in NYCDOE</t>
  </si>
  <si>
    <t>SPOC Meet-up
Bronx (Microsoft)</t>
  </si>
  <si>
    <t>You are invited to our Borough Field Office for a SPOC Meet-up. At this “Meet-Up” we will be: Meeting and greeting each other, sharing successes and failures, provided updates on all new DIIT technology rollouts and near future projects, given a Microsoft InTune demo and getting your questions answered.</t>
  </si>
  <si>
    <t>Winnie</t>
  </si>
  <si>
    <t>Bracco</t>
  </si>
  <si>
    <t>wbracco@schools.nyc.gov</t>
  </si>
  <si>
    <t>Do More with Office</t>
  </si>
  <si>
    <t>9 am - 1 pm</t>
  </si>
  <si>
    <t>Teachers, SPOCs</t>
  </si>
  <si>
    <t>Office has always been the go-to tool for helping individuals do their best work - whether for professional documents, powerful analyses, or school presentations. Office 2016 continues to improve in ways that allows for improved productivity and collaboration. Learn how Office 2016 empowers you and your students to do more. Seats are limited. Please unenroll in the event you are not able to attend after registration.</t>
  </si>
  <si>
    <t>News Lit Camp</t>
  </si>
  <si>
    <t>Wall Street Journal 
1211 Avenue of the Americas</t>
  </si>
  <si>
    <t>8:00 - 3:30</t>
  </si>
  <si>
    <t>News Literacy Project</t>
  </si>
  <si>
    <t>Tech Teachers, Librarians, all educators</t>
  </si>
  <si>
    <t>#NewsLitCamp features breakout sessions with journalists and news literacy experts. Breakfast and lunch will be provided. Space is limited.</t>
  </si>
  <si>
    <t>iZone/iLearnNYC End of Year Symposium</t>
  </si>
  <si>
    <t>John Dewey High School
50 Avenue X
Brooklyn NY 11223</t>
  </si>
  <si>
    <t xml:space="preserve">8 am - 3 pm </t>
  </si>
  <si>
    <t xml:space="preserve">There are over 30 topics to choose from in 90 minutes workshops.  See the attached sample list of workshops along with agenda.   Don’t miss the KEYNOTE, presentations, vendors and raffles.  CTLE Approved! </t>
  </si>
  <si>
    <t>MIE Teacher Academy using Microsoft Teams</t>
  </si>
  <si>
    <t>Tottenville High School, 100 Luten Avenue, Staten Island, NY 10312</t>
  </si>
  <si>
    <t>9 am – 1 pm</t>
  </si>
  <si>
    <t>How do we support teachers and students who are challenged to learn in an increasingly collaborate and mobile environment? Microsoft Teams creates an ideal digital hub for teachers to deliver instruction, enhance learning, and interact in a rich and engaging online space. Participants will engage in a series of immersive learning activities that will build a strong understanding of how to use Microsoft Teams to improve instruction and meet the learning needs of their students.
Seats are limited. Please unenroll in the event you are not able to attend after registration.</t>
  </si>
  <si>
    <t>131 Livingston Street, 
Room 610
Brooklyn, NY 11201</t>
  </si>
  <si>
    <t>SPOCs, Administrators</t>
  </si>
  <si>
    <t>Experience and explore Apple’s new, free and comprehensive curriculum at this hands-on event. The projects in the Everyone Can Create guides teach students to develop and communicate ideas through video, photography, music, and drawing. And they help ignite creativity by giving teachers fun and meaningful ways to bring these skills into any lesson, topic, or assignment.</t>
  </si>
  <si>
    <t xml:space="preserve">Brooklyn Navy Yard STEAM Center
141 Flushing Ave 
Brooklyn New York 11205
Building 77 - Suite 301
</t>
  </si>
  <si>
    <t>You are invited to our Brooklyn SPOC Meet-up. At this “Meet-Up” we will be: Meeting and greeting each other, sharing successes and failures, provided updates on all new DIIT technology rollouts and near future projects, given a “Imaging Corner” demo and getting your questions answered.</t>
  </si>
  <si>
    <t xml:space="preserve">Makerbot Headquarters
1 MetroTech Center
Brooklyn, NY 11201
</t>
  </si>
  <si>
    <t xml:space="preserve">Adding a 3D printer (or two, or more!) to your classroom is exciting, and perhaps even a bit stressful. Once it’s set up, starting printing can be a challenge. Deciding who should print and how long it will take to get everyone’s prints completed can get complicated, even in a small class. We’ll help you manage the print process with your Makerbot Replicator+, from student creation to finalized prints, still warm from the print bed. This session is NYS CTLE approved. You will receive 1.5 CTLE hours for participating in this course. </t>
  </si>
  <si>
    <t>Grow With Google Space
111 8th Ave
New York, NY 10011</t>
  </si>
  <si>
    <t>DIIT/Google</t>
  </si>
  <si>
    <t>G Suite Administrators</t>
  </si>
  <si>
    <t xml:space="preserve">This workshop will explore best practices to create student and teacher accounts, enable privacy features for each app, run data reports and more! You will get the most out of this workshop if you are a G Suite Super Admin in your domain.
</t>
  </si>
  <si>
    <t>Thursday, July 11th</t>
  </si>
  <si>
    <t>#NYCSchoolsTech Chat on Twitter</t>
  </si>
  <si>
    <t>No registration required</t>
  </si>
  <si>
    <t>#NYCSchoolsTechChat on Twitter</t>
  </si>
  <si>
    <t>7 - 8 pm</t>
  </si>
  <si>
    <t>NYC Schools educators</t>
  </si>
  <si>
    <t xml:space="preserve">In New York City all schools must have accessible websites in 2020. Most schools are just beginning on this journey. This chat will give participants ideas for how they can create digitally accessible websites and other content. </t>
  </si>
  <si>
    <t>Disability Pride Parade</t>
  </si>
  <si>
    <t>Tinyurl.com/DOEParade2019</t>
  </si>
  <si>
    <t>Madison Square Park - 23rd St
W 26th St, New York, New York 10001</t>
  </si>
  <si>
    <t>10:30 - 1</t>
  </si>
  <si>
    <t>MOPD</t>
  </si>
  <si>
    <t>families, staff, public</t>
  </si>
  <si>
    <t>http://disabilitypridenyc.org/</t>
  </si>
  <si>
    <t xml:space="preserve">The parade is featuring the creativity of the community so floats, costumes, decorated wheelchairs, creative hairstyles, umbrellas, T shirts etc…. are encouraged. There will be awards handed out for creativity at the the festival. </t>
  </si>
  <si>
    <t>Join us to learn about Everyone Can Code, the free comprehensive curriculum that makes it easy to teach coding to students from kindergarten to college. With teacher guides and lessons, you can introduce coding concepts visually on iPad in elementary school, move to writing code with the Swift Playgrounds app in middle school, and support students in building iOS apps on Mac with Xcode in high school and beyond.</t>
  </si>
  <si>
    <t>Digital Inclusion (DigIn) Camp</t>
  </si>
  <si>
    <t>https://www.echalk.com/dig-in-camps</t>
  </si>
  <si>
    <t>5:00 - 7:30</t>
  </si>
  <si>
    <t>Ensuring Your School Website is Accessible</t>
  </si>
  <si>
    <t>Queens Plaza - Computer Lab 28-11 Queens Plaza North Queens, NY 11101</t>
  </si>
  <si>
    <t>9:00 - 3:00 pm</t>
  </si>
  <si>
    <t>Queens Borough Office / DIIT</t>
  </si>
  <si>
    <t>Webmasters will learn how to apply key Web Content Accessibility Guidelines (WCAG) to their school websites. As you learn the WCAG, expect to have time to edit your website accordingly.
Additional Info:
You must be able to access your school website's creation platform and have editing privileges. If you typically edit the website on a laptop and store your files on a laptop, bring the laptop with you.</t>
  </si>
  <si>
    <t>SPOC Summer Workshop (MDM) for Apple with JAMF</t>
  </si>
  <si>
    <t>MDM</t>
  </si>
  <si>
    <t>LaGuardia High School
100 Amsterdam Avenue
New York, NY 10023</t>
  </si>
  <si>
    <t>DIIT/CDE</t>
  </si>
  <si>
    <t>Everyone</t>
  </si>
  <si>
    <t xml:space="preserve">The 2019 Summit is heading back to La Guardia H.S. and will be held on Wednesday, July 31st! Join us for a day workshops, exhibitors, and the annual #NYCSchoolsTech awards. Jason Green  the co-founder of LINC (Learning Innovation Catalyst) will be the keynote speaker. Chancellor Richard Carranza will give opening remarks and Victor Calise, Commissioner of the Mayor’s Office for People with Disabilities will also speak to highlight the inclusion workshops we’re offering this year for the first time. </t>
  </si>
  <si>
    <t xml:space="preserve">Digital Inclusion (DigIn) Camp </t>
  </si>
  <si>
    <t>eChalk School webmasters and content providers</t>
  </si>
  <si>
    <t>Discover how to make accessible content for their website and more. This includes how to create accessible images, videos, formatting. Participants will also receive a report indicating how accessible their school website currently is. *eChalk Focused DigIn Camps will include both general accessibility content as well as how to find and fix accessibility issues in eChalk</t>
  </si>
  <si>
    <t>12 Noon - 3 PM</t>
  </si>
</sst>
</file>

<file path=xl/styles.xml><?xml version="1.0" encoding="utf-8"?>
<styleSheet xmlns="http://schemas.openxmlformats.org/spreadsheetml/2006/main" xmlns:x14ac="http://schemas.microsoft.com/office/spreadsheetml/2009/9/ac" xmlns:mc="http://schemas.openxmlformats.org/markup-compatibility/2006">
  <numFmts count="13">
    <numFmt numFmtId="164" formatCode="m/d/yyyy h:mm:ss"/>
    <numFmt numFmtId="165" formatCode="m/d"/>
    <numFmt numFmtId="166" formatCode="m/d/yyyy"/>
    <numFmt numFmtId="167" formatCode="dddd, mmmm d, yyyy"/>
    <numFmt numFmtId="168" formatCode="M/d/yyyy"/>
    <numFmt numFmtId="169" formatCode="dddd&quot;, &quot;mmmm&quot; &quot;d&quot;, &quot;yyyy"/>
    <numFmt numFmtId="170" formatCode="m&quot;/&quot;d"/>
    <numFmt numFmtId="171" formatCode="ddd, mmm d, yyyy"/>
    <numFmt numFmtId="172" formatCode="mm/dd/yyyy"/>
    <numFmt numFmtId="173" formatCode="mmm&quot;-&quot;d"/>
    <numFmt numFmtId="174" formatCode="&quot;$&quot;#,##0.00"/>
    <numFmt numFmtId="175" formatCode="mmmm d, yyyy"/>
    <numFmt numFmtId="176" formatCode="dddd mmmm d, yyyy"/>
  </numFmts>
  <fonts count="257">
    <font>
      <sz val="10.0"/>
      <color rgb="FF000000"/>
      <name val="Arial"/>
    </font>
    <font>
      <b/>
      <color rgb="FFFFFFFF"/>
      <name val="Arial"/>
    </font>
    <font>
      <b/>
      <sz val="10.0"/>
      <color rgb="FFFFFFFF"/>
      <name val="Arial"/>
    </font>
    <font>
      <b/>
    </font>
    <font>
      <b/>
      <sz val="10.0"/>
    </font>
    <font>
      <u/>
      <sz val="10.0"/>
      <color rgb="FF1155CC"/>
      <name val="Arial"/>
    </font>
    <font>
      <sz val="10.0"/>
      <name val="Arial"/>
    </font>
    <font>
      <b/>
      <color rgb="FF000000"/>
      <name val="Arial"/>
    </font>
    <font>
      <color rgb="FF000000"/>
      <name val="Arial"/>
    </font>
    <font>
      <u/>
      <color rgb="FF000000"/>
      <name val="Arial"/>
    </font>
    <font>
      <b/>
      <sz val="12.0"/>
      <color rgb="FF000000"/>
      <name val="Arial"/>
    </font>
    <font>
      <u/>
      <color rgb="FF0000FF"/>
      <name val="Arial"/>
    </font>
    <font>
      <u/>
      <sz val="10.0"/>
      <color rgb="FF0000FF"/>
      <name val="Arial"/>
    </font>
    <font>
      <u/>
      <color rgb="FF000000"/>
      <name val="Arial"/>
    </font>
    <font>
      <b/>
      <sz val="14.0"/>
      <color rgb="FF000000"/>
      <name val="Arial"/>
    </font>
    <font>
      <u/>
      <color rgb="FF0000FF"/>
      <name val="Arial"/>
    </font>
    <font>
      <name val="Arial"/>
    </font>
    <font>
      <b/>
      <sz val="12.0"/>
    </font>
    <font>
      <u/>
      <color rgb="FF000000"/>
      <name val="Arial"/>
    </font>
    <font>
      <u/>
      <sz val="10.0"/>
      <color rgb="FF1155CC"/>
      <name val="Arial"/>
    </font>
    <font>
      <u/>
      <color rgb="FF000000"/>
      <name val="Arial"/>
    </font>
    <font>
      <color rgb="FF000000"/>
      <name val="Helvetica Neue"/>
    </font>
    <font>
      <u/>
      <sz val="10.0"/>
      <color rgb="FF1155CC"/>
      <name val="Arial"/>
    </font>
    <font>
      <u/>
      <sz val="10.0"/>
      <color rgb="FF1155CC"/>
      <name val="Arial"/>
    </font>
    <font>
      <u/>
      <color rgb="FF0000FF"/>
      <name val="Arial"/>
    </font>
    <font>
      <b/>
      <color rgb="FFFF0000"/>
      <name val="Arial"/>
    </font>
    <font>
      <color rgb="FF0000FF"/>
      <name val="Arial"/>
    </font>
    <font>
      <u/>
      <color rgb="FF0000FF"/>
      <name val="Arial"/>
    </font>
    <font>
      <u/>
      <color rgb="FF0000FF"/>
      <name val="Arial"/>
    </font>
    <font/>
    <font>
      <u/>
      <color rgb="FF0000FF"/>
    </font>
    <font>
      <u/>
      <color rgb="FF1155CC"/>
      <name val="Arial"/>
    </font>
    <font>
      <u/>
      <color rgb="FF0000FF"/>
      <name val="Arial"/>
    </font>
    <font>
      <u/>
      <color rgb="FF000000"/>
      <name val="Arial"/>
    </font>
    <font>
      <u/>
      <sz val="10.0"/>
      <color rgb="FF3C78D8"/>
      <name val="Arial"/>
    </font>
    <font>
      <u/>
      <color rgb="FF1155CC"/>
      <name val="Arial"/>
    </font>
    <font>
      <u/>
      <color rgb="FF1155CC"/>
      <name val="Arial"/>
    </font>
    <font>
      <color rgb="FF201F1E"/>
    </font>
    <font>
      <u/>
      <color rgb="FF0000FF"/>
    </font>
    <font>
      <u/>
      <color rgb="FF000000"/>
      <name val="Arial"/>
    </font>
    <font>
      <u/>
      <sz val="10.0"/>
      <color rgb="FF0000FF"/>
      <name val="Arial"/>
    </font>
    <font>
      <u/>
      <color rgb="FF000000"/>
      <name val="Arial"/>
    </font>
    <font>
      <u/>
      <color rgb="FF0000FF"/>
      <name val="Arial"/>
    </font>
    <font>
      <u/>
      <sz val="10.0"/>
      <color rgb="FF000000"/>
      <name val="Arial"/>
    </font>
    <font>
      <u/>
      <color rgb="FF1155CC"/>
    </font>
    <font>
      <u/>
      <color rgb="FF1155CC"/>
      <name val="Arial"/>
    </font>
    <font>
      <u/>
      <color rgb="FF0000FF"/>
    </font>
    <font>
      <u/>
      <color rgb="FF1155CC"/>
      <name val="Arial"/>
    </font>
    <font>
      <u/>
      <sz val="10.0"/>
      <color rgb="FF0000FF"/>
      <name val="Arial"/>
    </font>
    <font>
      <u/>
      <sz val="10.0"/>
      <color rgb="FF1155CC"/>
      <name val="Arial"/>
    </font>
    <font>
      <sz val="10.0"/>
      <color rgb="FF3A3A3A"/>
      <name val="Arial"/>
    </font>
    <font>
      <u/>
      <color rgb="FF1155CC"/>
      <name val="Arial"/>
    </font>
    <font>
      <u/>
      <sz val="10.0"/>
      <color rgb="FF0000FF"/>
      <name val="Arial"/>
    </font>
    <font>
      <u/>
      <color rgb="FF000000"/>
      <name val="Arial"/>
    </font>
    <font>
      <u/>
      <color rgb="FF0000FF"/>
      <name val="Arial"/>
    </font>
    <font>
      <u/>
      <color rgb="FF000000"/>
      <name val="Arial"/>
    </font>
    <font>
      <u/>
      <color rgb="FF0000FF"/>
      <name val="Arial"/>
    </font>
    <font>
      <u/>
      <color rgb="FF0000FF"/>
      <name val="Arial"/>
    </font>
    <font>
      <u/>
      <color rgb="FF1155CC"/>
      <name val="Arial"/>
    </font>
    <font>
      <b/>
      <color rgb="FFFFFFFF"/>
    </font>
    <font>
      <color rgb="FF000000"/>
      <name val="Roboto"/>
    </font>
    <font>
      <u/>
      <color rgb="FF0000FF"/>
    </font>
    <font>
      <u/>
      <color rgb="FF0000FF"/>
    </font>
    <font>
      <strike/>
    </font>
    <font>
      <u/>
      <color rgb="FF0000FF"/>
      <name val="Arial"/>
    </font>
    <font>
      <u/>
      <sz val="10.0"/>
      <color rgb="FF0000FF"/>
      <name val="Arial"/>
    </font>
    <font>
      <u/>
      <color rgb="FF0000FF"/>
      <name val="Arial"/>
    </font>
    <font>
      <u/>
      <sz val="10.0"/>
      <color rgb="FF0000FF"/>
      <name val="Arial"/>
    </font>
    <font>
      <u/>
      <sz val="10.0"/>
      <color rgb="FF0000FF"/>
      <name val="Arial"/>
    </font>
    <font>
      <u/>
      <color rgb="FF1155CC"/>
      <name val="Arial"/>
    </font>
    <font>
      <u/>
      <color rgb="FF000000"/>
      <name val="Arial"/>
    </font>
    <font>
      <u/>
      <color rgb="FF1155CC"/>
      <name val="Arial"/>
    </font>
    <font>
      <u/>
      <sz val="10.0"/>
      <color rgb="FF0000FF"/>
      <name val="Arial"/>
    </font>
    <font>
      <color rgb="FFFFFFFF"/>
    </font>
    <font>
      <b/>
      <sz val="10.0"/>
      <color rgb="FFFFFFFF"/>
    </font>
    <font>
      <u/>
      <color rgb="FF000000"/>
      <name val="Arial"/>
    </font>
    <font>
      <u/>
      <color rgb="FF000000"/>
      <name val="Arial"/>
    </font>
    <font>
      <u/>
      <color rgb="FF000000"/>
      <name val="Arial"/>
    </font>
    <font>
      <u/>
      <color rgb="FF000000"/>
    </font>
    <font>
      <u/>
      <color rgb="FF0000FF"/>
    </font>
    <font>
      <u/>
      <color rgb="FF000000"/>
      <name val="Arial"/>
    </font>
    <font>
      <u/>
      <color rgb="FF000000"/>
      <name val="Arial"/>
    </font>
    <font>
      <u/>
      <color rgb="FF000000"/>
      <name val="Arial"/>
    </font>
    <font>
      <strike/>
      <color rgb="FF000000"/>
      <name val="Arial"/>
    </font>
    <font>
      <u/>
      <color rgb="FF1155CC"/>
      <name val="Arial"/>
    </font>
    <font>
      <u/>
      <color rgb="FF0000FF"/>
      <name val="Arial"/>
    </font>
    <font>
      <u/>
      <color rgb="FF0000FF"/>
      <name val="Arial"/>
    </font>
    <font>
      <u/>
      <color rgb="FF0000FF"/>
      <name val="Arial"/>
    </font>
    <font>
      <u/>
      <color rgb="FF000000"/>
      <name val="Arial"/>
    </font>
    <font>
      <u/>
      <color rgb="FF0000FF"/>
      <name val="Arial"/>
    </font>
    <font>
      <u/>
      <color rgb="FF0000FF"/>
    </font>
    <font>
      <u/>
      <color rgb="FF1155CC"/>
      <name val="Arial"/>
    </font>
    <font>
      <u/>
      <color rgb="FF1155CC"/>
      <name val="Arial"/>
    </font>
    <font>
      <u/>
      <color rgb="FF0000FF"/>
      <name val="Arial"/>
    </font>
    <font>
      <u/>
      <color rgb="FF000000"/>
      <name val="Arial"/>
    </font>
    <font>
      <u/>
      <color rgb="FF0000FF"/>
    </font>
    <font>
      <u/>
      <color rgb="FF000000"/>
      <name val="Arial"/>
    </font>
    <font>
      <u/>
      <color rgb="FF1155CC"/>
      <name val="Arial"/>
    </font>
    <font>
      <b/>
      <u/>
      <color rgb="FF000000"/>
      <name val="Arial"/>
    </font>
    <font>
      <u/>
      <color rgb="FF000000"/>
      <name val="Arial"/>
    </font>
    <font>
      <b/>
      <u/>
      <color rgb="FF0000FF"/>
      <name val="Arial"/>
    </font>
    <font>
      <u/>
      <color rgb="FF1155CC"/>
      <name val="Arial"/>
    </font>
    <font>
      <u/>
      <color rgb="FF1155CC"/>
      <name val="Arial"/>
    </font>
    <font>
      <u/>
      <sz val="12.0"/>
      <color rgb="FF000000"/>
      <name val="Roboto"/>
    </font>
    <font>
      <u/>
      <color rgb="FF000000"/>
      <name val="Arial"/>
    </font>
    <font>
      <u/>
      <sz val="10.0"/>
      <color rgb="FF0000FF"/>
      <name val="Arial"/>
    </font>
    <font>
      <sz val="11.0"/>
      <color rgb="FF14171A"/>
      <name val="Arial"/>
    </font>
    <font>
      <u/>
      <sz val="11.0"/>
      <color rgb="FF0000FF"/>
      <name val="Arial"/>
    </font>
    <font>
      <u/>
      <color rgb="FF000000"/>
      <name val="Arial"/>
    </font>
    <font>
      <u/>
      <sz val="12.0"/>
      <color rgb="FF000000"/>
      <name val="Roboto"/>
    </font>
    <font>
      <sz val="10.0"/>
    </font>
    <font>
      <u/>
      <color rgb="FF000000"/>
    </font>
    <font>
      <u/>
      <color rgb="FF0000FF"/>
    </font>
    <font>
      <b/>
      <name val="Arial"/>
    </font>
    <font>
      <u/>
      <color rgb="FF000000"/>
      <name val="Arial"/>
    </font>
    <font>
      <sz val="11.0"/>
      <name val="Arial"/>
    </font>
    <font>
      <u/>
      <color rgb="FF0000FF"/>
      <name val="Arial"/>
    </font>
    <font>
      <color rgb="FF0000FF"/>
    </font>
    <font>
      <u/>
      <color rgb="FF000000"/>
      <name val="Arial"/>
    </font>
    <font>
      <u/>
      <color rgb="FF1155CC"/>
      <name val="Arial"/>
    </font>
    <font>
      <u/>
      <color rgb="FF0000FF"/>
    </font>
    <font>
      <sz val="11.0"/>
      <color rgb="FF000000"/>
      <name val="Calibri"/>
    </font>
    <font>
      <color rgb="FF000000"/>
    </font>
    <font>
      <u/>
      <color rgb="FF000000"/>
      <name val="Arial"/>
    </font>
    <font>
      <u/>
      <color rgb="FF0000FF"/>
      <name val="Arial"/>
    </font>
    <font>
      <strike/>
      <sz val="10.0"/>
      <color rgb="FF000000"/>
      <name val="Arial"/>
    </font>
    <font>
      <b/>
      <sz val="10.0"/>
      <color rgb="FF444444"/>
      <name val="Arial"/>
    </font>
    <font>
      <b/>
      <sz val="9.0"/>
      <color rgb="FF000000"/>
      <name val="Arial"/>
    </font>
    <font>
      <b/>
      <sz val="10.0"/>
      <color rgb="FF000000"/>
      <name val="Arial"/>
    </font>
    <font>
      <b/>
      <sz val="10.0"/>
      <color rgb="FF333333"/>
      <name val="Liberation-serif-1"/>
    </font>
    <font>
      <u/>
      <sz val="10.0"/>
      <color rgb="FF0000FF"/>
      <name val="Arial"/>
    </font>
    <font>
      <u/>
      <color rgb="FF000000"/>
      <name val="Arial"/>
    </font>
    <font>
      <u/>
      <color rgb="FF1155CC"/>
      <name val="Arial"/>
    </font>
    <font>
      <u/>
      <sz val="10.0"/>
      <color rgb="FF0000FF"/>
      <name val="Arial"/>
    </font>
    <font>
      <u/>
      <color rgb="FF1155CC"/>
      <name val="Arial"/>
    </font>
    <font>
      <b/>
      <sz val="10.0"/>
      <color rgb="FF444444"/>
    </font>
    <font>
      <sz val="10.0"/>
      <color rgb="FF444444"/>
      <name val="Arial"/>
    </font>
    <font>
      <u/>
      <sz val="10.0"/>
      <color rgb="FF000000"/>
      <name val="Arial"/>
    </font>
    <font>
      <u/>
      <sz val="10.0"/>
      <color rgb="FF000000"/>
    </font>
    <font>
      <u/>
      <color rgb="FF1155CC"/>
      <name val="Arial"/>
    </font>
    <font>
      <u/>
      <sz val="10.0"/>
      <color rgb="FF0000FF"/>
    </font>
    <font>
      <u/>
      <sz val="10.0"/>
      <color rgb="FF333333"/>
    </font>
    <font>
      <u/>
      <sz val="10.0"/>
      <color rgb="FF0000FF"/>
    </font>
    <font>
      <u/>
      <sz val="10.0"/>
      <color rgb="FF0000FF"/>
      <name val="Arial"/>
    </font>
    <font>
      <sz val="10.0"/>
      <color rgb="FF333333"/>
    </font>
    <font>
      <color rgb="FF444444"/>
      <name val="Arial"/>
    </font>
    <font>
      <u/>
      <color rgb="FF1155CC"/>
      <name val="Arial"/>
    </font>
    <font>
      <u/>
      <color rgb="FF000000"/>
      <name val="Arial"/>
    </font>
    <font>
      <u/>
      <sz val="10.0"/>
      <color rgb="FF444444"/>
      <name val="Arial"/>
    </font>
    <font>
      <u/>
      <sz val="10.0"/>
      <color rgb="FF0000FF"/>
      <name val="Arial"/>
    </font>
    <font>
      <u/>
      <sz val="10.0"/>
      <color rgb="FF000000"/>
      <name val="Arial"/>
    </font>
    <font>
      <u/>
      <sz val="10.0"/>
      <color rgb="FF444444"/>
      <name val="Arial"/>
    </font>
    <font>
      <u/>
      <sz val="10.0"/>
      <color rgb="FF0000FF"/>
      <name val="Arial"/>
    </font>
    <font>
      <u/>
      <sz val="10.0"/>
      <color rgb="FF444444"/>
      <name val="Arial"/>
    </font>
    <font>
      <u/>
      <color rgb="FF1155CC"/>
      <name val="Arial"/>
    </font>
    <font>
      <sz val="10.0"/>
      <color rgb="FF333333"/>
      <name val="Arial"/>
    </font>
    <font>
      <u/>
      <sz val="10.0"/>
      <color rgb="FF1155CC"/>
      <name val="Arial"/>
    </font>
    <font>
      <u/>
      <sz val="10.0"/>
      <color rgb="FF000000"/>
      <name val="Arial"/>
    </font>
    <font>
      <u/>
      <sz val="10.0"/>
      <name val="Arial"/>
    </font>
    <font>
      <b/>
      <sz val="24.0"/>
      <color rgb="FF333333"/>
      <name val="Liberation-serif-1"/>
    </font>
    <font>
      <sz val="9.0"/>
      <name val="Arial"/>
    </font>
    <font>
      <u/>
      <sz val="10.0"/>
      <color rgb="FF444444"/>
      <name val="Arial"/>
    </font>
    <font>
      <sz val="10.0"/>
      <color rgb="FF000000"/>
    </font>
    <font>
      <u/>
      <sz val="10.0"/>
      <color rgb="FF0563C1"/>
    </font>
    <font>
      <sz val="9.0"/>
      <color rgb="FF000000"/>
      <name val="Arial"/>
    </font>
    <font>
      <u/>
      <color rgb="FF1155CC"/>
      <name val="Arial"/>
    </font>
    <font>
      <u/>
      <sz val="10.0"/>
      <color rgb="FF0000FF"/>
      <name val="Arial"/>
    </font>
    <font>
      <u/>
      <sz val="10.0"/>
      <color rgb="FF000000"/>
      <name val="Arial"/>
    </font>
    <font>
      <u/>
      <sz val="10.0"/>
      <color rgb="FF444444"/>
      <name val="Arial"/>
    </font>
    <font>
      <u/>
      <sz val="10.0"/>
      <color rgb="FF444444"/>
      <name val="Arial"/>
    </font>
    <font>
      <u/>
      <sz val="10.0"/>
      <color rgb="FF1155CC"/>
      <name val="Arial"/>
    </font>
    <font>
      <u/>
      <sz val="10.0"/>
      <color rgb="FF000000"/>
      <name val="Arial"/>
    </font>
    <font>
      <u/>
      <sz val="10.0"/>
      <color rgb="FF0000FF"/>
      <name val="Arial"/>
    </font>
    <font>
      <u/>
      <color rgb="FF000000"/>
      <name val="Arial"/>
    </font>
    <font>
      <u/>
      <color rgb="FF0000FF"/>
      <name val="Arial"/>
    </font>
    <font>
      <u/>
      <sz val="10.0"/>
      <color rgb="FF000000"/>
      <name val="Arial"/>
    </font>
    <font>
      <u/>
      <sz val="10.0"/>
      <color rgb="FF000000"/>
      <name val="Arial"/>
    </font>
    <font>
      <u/>
      <color rgb="FF0000FF"/>
    </font>
    <font>
      <sz val="9.0"/>
    </font>
    <font>
      <u/>
      <sz val="10.0"/>
      <color rgb="FF0000FF"/>
      <name val="Arial"/>
    </font>
    <font>
      <u/>
      <color rgb="FF0000FF"/>
    </font>
    <font>
      <u/>
      <color rgb="FF0000FF"/>
    </font>
    <font>
      <b/>
      <sz val="36.0"/>
      <color rgb="FF93C47D"/>
    </font>
    <font>
      <u/>
      <color rgb="FF0000FF"/>
    </font>
    <font>
      <u/>
      <color rgb="FF0000FF"/>
    </font>
    <font>
      <u/>
      <color rgb="FF0000FF"/>
    </font>
    <font>
      <u/>
      <color rgb="FF1155CC"/>
    </font>
    <font>
      <u/>
      <color rgb="FF000000"/>
      <name val="Arial"/>
    </font>
    <font>
      <u/>
      <color rgb="FF0000FF"/>
      <name val="Arial"/>
    </font>
    <font>
      <u/>
      <color rgb="FF0000FF"/>
    </font>
    <font>
      <u/>
      <color rgb="FF0000FF"/>
      <name val="Arial"/>
    </font>
    <font>
      <u/>
      <color rgb="FF0000FF"/>
      <name val="Arial"/>
    </font>
    <font>
      <u/>
      <color rgb="FF0000FF"/>
    </font>
    <font>
      <u/>
      <color rgb="FF0000FF"/>
      <name val="Arial"/>
    </font>
    <font>
      <u/>
      <color rgb="FF0000FF"/>
      <name val="Arial"/>
    </font>
    <font>
      <b/>
      <strike/>
      <color rgb="FF000000"/>
      <name val="Arial"/>
    </font>
    <font>
      <u/>
      <color rgb="FF0000FF"/>
    </font>
    <font>
      <u/>
      <color rgb="FF000000"/>
      <name val="Arial"/>
    </font>
    <font>
      <sz val="12.0"/>
      <color rgb="FF000000"/>
      <name val="Calibri"/>
    </font>
    <font>
      <sz val="10.0"/>
      <color rgb="FF1D2129"/>
      <name val="Arial"/>
    </font>
    <font>
      <sz val="11.0"/>
      <color rgb="FF1D2129"/>
      <name val="Helvetica"/>
    </font>
    <font>
      <strike/>
      <color rgb="FF0000FF"/>
      <name val="Roboto"/>
    </font>
    <font>
      <strike/>
      <color rgb="FF0000FF"/>
      <name val="Arial"/>
    </font>
    <font>
      <strike/>
      <color rgb="FF0000FF"/>
    </font>
    <font>
      <u/>
      <sz val="10.0"/>
      <color rgb="FF0000FF"/>
      <name val="Arial"/>
    </font>
    <font>
      <u/>
      <color rgb="FF1155CC"/>
      <name val="Arial"/>
    </font>
    <font>
      <u/>
      <color rgb="FF0000FF"/>
      <name val="Arial"/>
    </font>
    <font>
      <u/>
      <color rgb="FF0000FF"/>
      <name val="Arial"/>
    </font>
    <font>
      <u/>
      <color rgb="FF0000FF"/>
    </font>
    <font>
      <u/>
      <color rgb="FF000000"/>
      <name val="Arial"/>
    </font>
    <font>
      <b/>
      <u/>
      <color rgb="FF666666"/>
      <name val="Verdana"/>
    </font>
    <font>
      <u/>
      <color rgb="FF0000FF"/>
    </font>
    <font>
      <u/>
      <color rgb="FF0000FF"/>
    </font>
    <font>
      <u/>
      <color rgb="FF0000FF"/>
      <name val="Arial"/>
    </font>
    <font>
      <u/>
      <color rgb="FF0000FF"/>
    </font>
    <font>
      <sz val="11.0"/>
      <color rgb="FF4B4F56"/>
      <name val="Helvetica"/>
    </font>
    <font>
      <u/>
      <color rgb="FF000000"/>
      <name val="Arial"/>
    </font>
    <font>
      <sz val="11.0"/>
      <color rgb="FF5F5F5F"/>
      <name val="Arial"/>
    </font>
    <font>
      <u/>
      <color rgb="FF0000FF"/>
      <name val="Arial"/>
    </font>
    <font>
      <u/>
      <color rgb="FF0000FF"/>
    </font>
    <font>
      <u/>
      <color rgb="FF0000FF"/>
      <name val="Arial"/>
    </font>
    <font>
      <sz val="11.0"/>
      <color rgb="FF202124"/>
      <name val="Roboto"/>
    </font>
    <font>
      <u/>
      <color rgb="FF0000FF"/>
      <name val="Arial"/>
    </font>
    <font>
      <u/>
      <color rgb="FF0000FF"/>
      <name val="Helvetica Neue"/>
    </font>
    <font>
      <b/>
      <color rgb="FF000000"/>
    </font>
    <font>
      <u/>
      <color rgb="FF0000FF"/>
      <name val="Arial"/>
    </font>
    <font>
      <u/>
      <color rgb="FF0000FF"/>
    </font>
    <font>
      <u/>
      <color rgb="FF1155CC"/>
      <name val="Arial"/>
    </font>
    <font>
      <u/>
      <color rgb="FF1155CC"/>
      <name val="Arial"/>
    </font>
    <font>
      <u/>
      <color rgb="FF0000FF"/>
      <name val="Arial"/>
    </font>
    <font>
      <u/>
      <color rgb="FF0000FF"/>
      <name val="Arial"/>
    </font>
    <font>
      <u/>
      <color rgb="FF0000FF"/>
      <name val="Arial"/>
    </font>
    <font>
      <u/>
      <color rgb="FF0000FF"/>
      <name val="Arial"/>
    </font>
    <font>
      <u/>
      <color rgb="FF0000FF"/>
      <name val="Arial"/>
    </font>
    <font>
      <u/>
      <color rgb="FF000000"/>
      <name val="Arial"/>
    </font>
    <font>
      <u/>
      <color rgb="FF0000FF"/>
      <name val="Helvetica Neue"/>
    </font>
    <font>
      <u/>
      <color rgb="FF0000FF"/>
      <name val="Arial"/>
    </font>
    <font>
      <u/>
      <color rgb="FF0000FF"/>
    </font>
    <font>
      <u/>
      <color rgb="FF1155CC"/>
      <name val="Arial"/>
    </font>
    <font>
      <u/>
      <color rgb="FF0000FF"/>
      <name val="Arial"/>
    </font>
    <font>
      <u/>
      <color rgb="FF1155CC"/>
      <name val="Arial"/>
    </font>
    <font>
      <u/>
      <color rgb="FF000000"/>
      <name val="Arial"/>
    </font>
    <font>
      <u/>
      <color rgb="FF000000"/>
      <name val="Arial"/>
    </font>
    <font>
      <u/>
      <color rgb="FF0000FF"/>
      <name val="Arial"/>
    </font>
    <font>
      <u/>
      <color rgb="FF0000FF"/>
      <name val="Arial"/>
    </font>
    <font>
      <u/>
      <color rgb="FF000000"/>
      <name val="Arial"/>
    </font>
    <font>
      <u/>
      <color rgb="FF000000"/>
      <name val="Arial"/>
    </font>
    <font>
      <sz val="11.0"/>
      <color rgb="FF000000"/>
      <name val="Arial"/>
    </font>
    <font>
      <u/>
      <color rgb="FF000000"/>
      <name val="Arial"/>
    </font>
    <font>
      <u/>
      <color rgb="FF0000FF"/>
      <name val="Arial"/>
    </font>
    <font>
      <u/>
      <color rgb="FF000000"/>
      <name val="Arial"/>
    </font>
    <font>
      <u/>
      <color rgb="FF0000FF"/>
      <name val="Arial"/>
    </font>
    <font>
      <u/>
      <color rgb="FF000000"/>
      <name val="Arial"/>
    </font>
    <font>
      <u/>
      <color rgb="FF0000FF"/>
      <name val="Arial"/>
    </font>
    <font>
      <u/>
      <color rgb="FF0000FF"/>
    </font>
    <font>
      <u/>
      <color rgb="FF0000FF"/>
    </font>
    <font>
      <u/>
      <color rgb="FF000000"/>
      <name val="Arial"/>
    </font>
  </fonts>
  <fills count="11">
    <fill>
      <patternFill patternType="none"/>
    </fill>
    <fill>
      <patternFill patternType="lightGray"/>
    </fill>
    <fill>
      <patternFill patternType="solid">
        <fgColor rgb="FF6AA84F"/>
        <bgColor rgb="FF6AA84F"/>
      </patternFill>
    </fill>
    <fill>
      <patternFill patternType="solid">
        <fgColor rgb="FFFFFFFF"/>
        <bgColor rgb="FFFFFFFF"/>
      </patternFill>
    </fill>
    <fill>
      <patternFill patternType="solid">
        <fgColor rgb="FFF4CCCC"/>
        <bgColor rgb="FFF4CCCC"/>
      </patternFill>
    </fill>
    <fill>
      <patternFill patternType="solid">
        <fgColor rgb="FFD9EAD3"/>
        <bgColor rgb="FFD9EAD3"/>
      </patternFill>
    </fill>
    <fill>
      <patternFill patternType="solid">
        <fgColor rgb="FFDBDBDB"/>
        <bgColor rgb="FFDBDBDB"/>
      </patternFill>
    </fill>
    <fill>
      <patternFill patternType="solid">
        <fgColor rgb="FFE8F0FE"/>
        <bgColor rgb="FFE8F0FE"/>
      </patternFill>
    </fill>
    <fill>
      <patternFill patternType="solid">
        <fgColor rgb="FFDAF5D0"/>
        <bgColor rgb="FFDAF5D0"/>
      </patternFill>
    </fill>
    <fill>
      <patternFill patternType="solid">
        <fgColor rgb="FFE6B8AF"/>
        <bgColor rgb="FFE6B8AF"/>
      </patternFill>
    </fill>
    <fill>
      <patternFill patternType="solid">
        <fgColor rgb="FFB7B7B7"/>
        <bgColor rgb="FFB7B7B7"/>
      </patternFill>
    </fill>
  </fills>
  <borders count="20">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999999"/>
      </left>
      <right style="thin">
        <color rgb="FF999999"/>
      </right>
      <top style="thin">
        <color rgb="FF999999"/>
      </top>
      <bottom style="thin">
        <color rgb="FF999999"/>
      </bottom>
    </border>
    <border>
      <bottom style="thin">
        <color rgb="FF000000"/>
      </bottom>
    </border>
    <border>
      <right style="thin">
        <color rgb="FF999999"/>
      </right>
      <top style="thin">
        <color rgb="FF999999"/>
      </top>
      <bottom style="thin">
        <color rgb="FF999999"/>
      </bottom>
    </border>
    <border>
      <right style="thin">
        <color rgb="FF000000"/>
      </right>
      <bottom style="thin">
        <color rgb="FF000000"/>
      </bottom>
    </border>
    <border>
      <left style="thin">
        <color rgb="FF000000"/>
      </left>
      <right style="thin">
        <color rgb="FF000000"/>
      </right>
      <bottom style="thin">
        <color rgb="FF000000"/>
      </bottom>
    </border>
    <border>
      <right style="thin">
        <color rgb="FF000000"/>
      </right>
      <top style="thin">
        <color rgb="FF000000"/>
      </top>
      <bottom style="thin">
        <color rgb="FF000000"/>
      </bottom>
    </border>
    <border>
      <left style="thin">
        <color rgb="FFA5A5A5"/>
      </left>
      <right style="thin">
        <color rgb="FF3F3F3F"/>
      </right>
      <top style="thin">
        <color rgb="FFA5A5A5"/>
      </top>
      <bottom style="thin">
        <color rgb="FFA5A5A5"/>
      </bottom>
    </border>
    <border>
      <right style="thin">
        <color rgb="FFA5A5A5"/>
      </right>
      <top style="thin">
        <color rgb="FFA5A5A5"/>
      </top>
      <bottom style="thin">
        <color rgb="FFA5A5A5"/>
      </bottom>
    </border>
    <border>
      <left style="thin">
        <color rgb="FFA5A5A5"/>
      </left>
      <right style="thin">
        <color rgb="FFA5A5A5"/>
      </right>
      <top style="thin">
        <color rgb="FFA5A5A5"/>
      </top>
      <bottom style="thin">
        <color rgb="FFA5A5A5"/>
      </bottom>
    </border>
    <border>
      <left style="thin">
        <color rgb="FFA5A5A5"/>
      </left>
      <top style="thin">
        <color rgb="FFA5A5A5"/>
      </top>
      <bottom style="thin">
        <color rgb="FFA5A5A5"/>
      </bottom>
    </border>
    <border>
      <right style="thin">
        <color rgb="FF000000"/>
      </right>
    </border>
    <border>
      <left style="thin">
        <color rgb="FFA5A5A5"/>
      </left>
      <right style="thin">
        <color rgb="FF3F3F3F"/>
      </right>
      <bottom style="thin">
        <color rgb="FFA5A5A5"/>
      </bottom>
    </border>
    <border>
      <right style="thin">
        <color rgb="FFA5A5A5"/>
      </right>
      <bottom style="thin">
        <color rgb="FFA5A5A5"/>
      </bottom>
    </border>
    <border>
      <left style="thin">
        <color rgb="FF3F3F3F"/>
      </left>
      <right style="thin">
        <color rgb="FFA5A5A5"/>
      </right>
      <top style="thin">
        <color rgb="FFA5A5A5"/>
      </top>
      <bottom style="thin">
        <color rgb="FFA5A5A5"/>
      </bottom>
    </border>
    <border>
      <right style="thin">
        <color rgb="FFA5A5A5"/>
      </right>
    </border>
    <border>
      <left style="thin">
        <color rgb="FFA5A5A5"/>
      </left>
      <right style="thin">
        <color rgb="FFA5A5A5"/>
      </right>
      <top style="thin">
        <color rgb="FFA5A5A5"/>
      </top>
    </border>
    <border>
      <left style="thin">
        <color rgb="FFA5A5A5"/>
      </left>
      <top style="thin">
        <color rgb="FFA5A5A5"/>
      </top>
    </border>
  </borders>
  <cellStyleXfs count="1">
    <xf borderId="0" fillId="0" fontId="0" numFmtId="0" applyAlignment="1" applyFont="1"/>
  </cellStyleXfs>
  <cellXfs count="882">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wrapText="1"/>
    </xf>
    <xf borderId="1" fillId="2" fontId="2" numFmtId="0" xfId="0" applyAlignment="1" applyBorder="1" applyFont="1">
      <alignment horizontal="left" readingOrder="0" shrinkToFit="0" vertical="center" wrapText="1"/>
    </xf>
    <xf borderId="0" fillId="2" fontId="1" numFmtId="0" xfId="0" applyAlignment="1" applyFont="1">
      <alignment horizontal="center" readingOrder="0" shrinkToFit="0" wrapText="1"/>
    </xf>
    <xf borderId="1" fillId="2" fontId="2" numFmtId="0" xfId="0" applyAlignment="1" applyBorder="1" applyFont="1">
      <alignment horizontal="left" readingOrder="0" vertical="center"/>
    </xf>
    <xf borderId="1" fillId="3" fontId="3" numFmtId="0" xfId="0" applyAlignment="1" applyBorder="1" applyFill="1" applyFont="1">
      <alignment horizontal="center" readingOrder="0" shrinkToFit="0" vertical="center" wrapText="1"/>
    </xf>
    <xf borderId="0" fillId="3" fontId="4" numFmtId="0" xfId="0" applyAlignment="1" applyFont="1">
      <alignment horizontal="left" readingOrder="0" shrinkToFit="0" vertical="center" wrapText="1"/>
    </xf>
    <xf borderId="0" fillId="2" fontId="1" numFmtId="0" xfId="0" applyAlignment="1" applyFont="1">
      <alignment horizontal="center" readingOrder="0" shrinkToFit="0" vertical="center" wrapText="1"/>
    </xf>
    <xf borderId="1" fillId="0" fontId="5" numFmtId="0" xfId="0" applyAlignment="1" applyBorder="1" applyFont="1">
      <alignment horizontal="left" readingOrder="0" shrinkToFit="0" vertical="center" wrapText="1"/>
    </xf>
    <xf borderId="0" fillId="2" fontId="1" numFmtId="0" xfId="0" applyAlignment="1" applyFont="1">
      <alignment horizontal="left" readingOrder="0" shrinkToFit="0" vertical="center" wrapText="1"/>
    </xf>
    <xf borderId="1" fillId="0" fontId="6" numFmtId="0" xfId="0" applyAlignment="1" applyBorder="1" applyFont="1">
      <alignment horizontal="left" readingOrder="0" shrinkToFit="0" vertical="center" wrapText="1"/>
    </xf>
    <xf borderId="1" fillId="4" fontId="7" numFmtId="164" xfId="0" applyAlignment="1" applyBorder="1" applyFill="1" applyFont="1" applyNumberFormat="1">
      <alignment horizontal="center" shrinkToFit="0" vertical="center" wrapText="1"/>
    </xf>
    <xf borderId="1" fillId="0" fontId="6" numFmtId="0" xfId="0" applyAlignment="1" applyBorder="1" applyFont="1">
      <alignment horizontal="left" vertical="center"/>
    </xf>
    <xf borderId="1" fillId="4" fontId="8" numFmtId="0" xfId="0" applyAlignment="1" applyBorder="1" applyFont="1">
      <alignment horizontal="center" readingOrder="0" shrinkToFit="0" vertical="center" wrapText="1"/>
    </xf>
    <xf borderId="1" fillId="0" fontId="6" numFmtId="0" xfId="0" applyAlignment="1" applyBorder="1" applyFont="1">
      <alignment horizontal="left" readingOrder="0" vertical="center"/>
    </xf>
    <xf borderId="1" fillId="4" fontId="9" numFmtId="0" xfId="0" applyAlignment="1" applyBorder="1" applyFont="1">
      <alignment horizontal="center" readingOrder="0" shrinkToFit="0" vertical="center" wrapText="1"/>
    </xf>
    <xf borderId="0" fillId="0" fontId="0" numFmtId="0" xfId="0" applyAlignment="1" applyFont="1">
      <alignment horizontal="left" readingOrder="0" shrinkToFit="0" vertical="center" wrapText="1"/>
    </xf>
    <xf borderId="1" fillId="4" fontId="8" numFmtId="0" xfId="0" applyAlignment="1" applyBorder="1" applyFont="1">
      <alignment horizontal="center" readingOrder="0" shrinkToFit="0" vertical="center" wrapText="1"/>
    </xf>
    <xf borderId="0" fillId="2" fontId="1" numFmtId="0" xfId="0" applyAlignment="1" applyFont="1">
      <alignment horizontal="center" readingOrder="0" shrinkToFit="0" vertical="center" wrapText="1"/>
    </xf>
    <xf borderId="1" fillId="4" fontId="10" numFmtId="0" xfId="0" applyAlignment="1" applyBorder="1" applyFont="1">
      <alignment horizontal="center" readingOrder="0" shrinkToFit="0" vertical="center" wrapText="1"/>
    </xf>
    <xf borderId="1" fillId="4" fontId="11" numFmtId="0" xfId="0" applyAlignment="1" applyBorder="1" applyFont="1">
      <alignment horizontal="center" readingOrder="0" shrinkToFit="0" vertical="center" wrapText="1"/>
    </xf>
    <xf borderId="1" fillId="4" fontId="8" numFmtId="0" xfId="0" applyAlignment="1" applyBorder="1" applyFont="1">
      <alignment horizontal="center" readingOrder="0" vertical="center"/>
    </xf>
    <xf borderId="1" fillId="4" fontId="12" numFmtId="0" xfId="0" applyAlignment="1" applyBorder="1" applyFont="1">
      <alignment horizontal="center" readingOrder="0" vertical="center"/>
    </xf>
    <xf borderId="1" fillId="5" fontId="7" numFmtId="164" xfId="0" applyAlignment="1" applyBorder="1" applyFill="1" applyFont="1" applyNumberFormat="1">
      <alignment horizontal="center" shrinkToFit="0" vertical="center" wrapText="1"/>
    </xf>
    <xf borderId="1" fillId="4" fontId="8" numFmtId="0" xfId="0" applyAlignment="1" applyBorder="1" applyFont="1">
      <alignment horizontal="center" readingOrder="0" vertical="center"/>
    </xf>
    <xf borderId="1" fillId="5" fontId="8" numFmtId="0" xfId="0" applyAlignment="1" applyBorder="1" applyFont="1">
      <alignment horizontal="center" readingOrder="0" shrinkToFit="0" vertical="center" wrapText="1"/>
    </xf>
    <xf borderId="1" fillId="4" fontId="0" numFmtId="0" xfId="0" applyAlignment="1" applyBorder="1" applyFont="1">
      <alignment horizontal="center" readingOrder="0" shrinkToFit="0" vertical="center" wrapText="1"/>
    </xf>
    <xf borderId="1" fillId="5" fontId="13" numFmtId="0" xfId="0" applyAlignment="1" applyBorder="1" applyFont="1">
      <alignment horizontal="center" readingOrder="0" shrinkToFit="0" vertical="center" wrapText="1"/>
    </xf>
    <xf borderId="1" fillId="4" fontId="14" numFmtId="0" xfId="0" applyAlignment="1" applyBorder="1" applyFont="1">
      <alignment horizontal="center" readingOrder="0" shrinkToFit="0" vertical="center" wrapText="1"/>
    </xf>
    <xf borderId="1" fillId="5" fontId="0" numFmtId="165" xfId="0" applyAlignment="1" applyBorder="1" applyFont="1" applyNumberFormat="1">
      <alignment horizontal="center" readingOrder="0" shrinkToFit="0" vertical="center" wrapText="1"/>
    </xf>
    <xf borderId="1" fillId="5" fontId="0" numFmtId="0" xfId="0" applyAlignment="1" applyBorder="1" applyFont="1">
      <alignment horizontal="center" readingOrder="0" shrinkToFit="0" vertical="center" wrapText="1"/>
    </xf>
    <xf borderId="1" fillId="5" fontId="15" numFmtId="0" xfId="0" applyAlignment="1" applyBorder="1" applyFont="1">
      <alignment horizontal="center" readingOrder="0" shrinkToFit="0" vertical="center" wrapText="1"/>
    </xf>
    <xf borderId="1" fillId="5" fontId="8" numFmtId="0" xfId="0" applyAlignment="1" applyBorder="1" applyFont="1">
      <alignment horizontal="center" readingOrder="0" vertical="center"/>
    </xf>
    <xf borderId="1" fillId="5" fontId="16" numFmtId="0" xfId="0" applyAlignment="1" applyBorder="1" applyFont="1">
      <alignment horizontal="center" readingOrder="0" vertical="center"/>
    </xf>
    <xf borderId="1" fillId="5" fontId="0" numFmtId="0" xfId="0" applyAlignment="1" applyBorder="1" applyFont="1">
      <alignment horizontal="center" readingOrder="0" shrinkToFit="0" vertical="center" wrapText="1"/>
    </xf>
    <xf borderId="0" fillId="5" fontId="17" numFmtId="0" xfId="0" applyAlignment="1" applyFont="1">
      <alignment horizontal="center" readingOrder="0" vertical="center"/>
    </xf>
    <xf borderId="1" fillId="4" fontId="8" numFmtId="0" xfId="0" applyAlignment="1" applyBorder="1" applyFont="1">
      <alignment horizontal="left" readingOrder="0" vertical="center"/>
    </xf>
    <xf borderId="1" fillId="6" fontId="7" numFmtId="164" xfId="0" applyAlignment="1" applyBorder="1" applyFill="1" applyFont="1" applyNumberFormat="1">
      <alignment horizontal="center" vertical="center"/>
    </xf>
    <xf borderId="1" fillId="5" fontId="14" numFmtId="0" xfId="0" applyAlignment="1" applyBorder="1" applyFont="1">
      <alignment horizontal="center" readingOrder="0" shrinkToFit="0" vertical="center" wrapText="1"/>
    </xf>
    <xf borderId="0" fillId="0" fontId="8" numFmtId="0" xfId="0" applyAlignment="1" applyFont="1">
      <alignment horizontal="center" readingOrder="0" vertical="center"/>
    </xf>
    <xf borderId="1" fillId="5" fontId="8" numFmtId="0" xfId="0" applyAlignment="1" applyBorder="1" applyFont="1">
      <alignment horizontal="center" readingOrder="0" shrinkToFit="0" vertical="center" wrapText="1"/>
    </xf>
    <xf borderId="0" fillId="0" fontId="18" numFmtId="0" xfId="0" applyAlignment="1" applyFont="1">
      <alignment horizontal="center" readingOrder="0" vertical="center"/>
    </xf>
    <xf borderId="1" fillId="6" fontId="7" numFmtId="164" xfId="0" applyAlignment="1" applyBorder="1" applyFont="1" applyNumberFormat="1">
      <alignment horizontal="center" shrinkToFit="0" vertical="center" wrapText="1"/>
    </xf>
    <xf borderId="1" fillId="0" fontId="8" numFmtId="0" xfId="0" applyAlignment="1" applyBorder="1" applyFont="1">
      <alignment horizontal="center" readingOrder="0" shrinkToFit="0" vertical="center" wrapText="1"/>
    </xf>
    <xf borderId="1" fillId="0" fontId="8" numFmtId="0" xfId="0" applyAlignment="1" applyBorder="1" applyFont="1">
      <alignment horizontal="center" readingOrder="0" shrinkToFit="0" vertical="center" wrapText="1"/>
    </xf>
    <xf borderId="1" fillId="0" fontId="19" numFmtId="0" xfId="0" applyAlignment="1" applyBorder="1" applyFont="1">
      <alignment horizontal="left" readingOrder="0" shrinkToFit="0" vertical="center" wrapText="1"/>
    </xf>
    <xf borderId="1" fillId="0" fontId="20" numFmtId="0" xfId="0" applyAlignment="1" applyBorder="1" applyFont="1">
      <alignment horizontal="center" readingOrder="0" shrinkToFit="0" vertical="center" wrapText="1"/>
    </xf>
    <xf borderId="1" fillId="0" fontId="21" numFmtId="0" xfId="0" applyAlignment="1" applyBorder="1" applyFont="1">
      <alignment horizontal="center" readingOrder="0" shrinkToFit="0" vertical="center" wrapText="1"/>
    </xf>
    <xf borderId="1" fillId="0" fontId="8" numFmtId="166" xfId="0" applyAlignment="1" applyBorder="1" applyFont="1" applyNumberFormat="1">
      <alignment horizontal="center" readingOrder="0" shrinkToFit="0" vertical="center" wrapText="1"/>
    </xf>
    <xf borderId="1" fillId="0" fontId="22" numFmtId="0" xfId="0" applyAlignment="1" applyBorder="1" applyFont="1">
      <alignment horizontal="left" readingOrder="0" vertical="center"/>
    </xf>
    <xf borderId="1" fillId="0" fontId="0" numFmtId="165" xfId="0" applyAlignment="1" applyBorder="1" applyFont="1" applyNumberFormat="1">
      <alignment horizontal="center" readingOrder="0" shrinkToFit="0" vertical="center" wrapText="1"/>
    </xf>
    <xf borderId="1" fillId="0" fontId="6" numFmtId="0" xfId="0" applyAlignment="1" applyBorder="1" applyFont="1">
      <alignment horizontal="left" shrinkToFit="0" vertical="center" wrapText="1"/>
    </xf>
    <xf borderId="1" fillId="0" fontId="23" numFmtId="0" xfId="0" applyAlignment="1" applyBorder="1" applyFont="1">
      <alignment horizontal="left" readingOrder="0" shrinkToFit="0" vertical="center" wrapText="1"/>
    </xf>
    <xf borderId="1" fillId="0" fontId="0" numFmtId="0" xfId="0" applyAlignment="1" applyBorder="1" applyFont="1">
      <alignment horizontal="center" readingOrder="0" shrinkToFit="0" vertical="center" wrapText="1"/>
    </xf>
    <xf borderId="1" fillId="0" fontId="24" numFmtId="0" xfId="0" applyAlignment="1" applyBorder="1" applyFont="1">
      <alignment horizontal="center" readingOrder="0" shrinkToFit="0" vertical="center" wrapText="1"/>
    </xf>
    <xf borderId="1" fillId="0" fontId="25" numFmtId="0" xfId="0" applyAlignment="1" applyBorder="1" applyFont="1">
      <alignment horizontal="center" readingOrder="0" vertical="center"/>
    </xf>
    <xf borderId="1" fillId="0" fontId="6" numFmtId="0" xfId="0" applyAlignment="1" applyBorder="1" applyFont="1">
      <alignment horizontal="left" readingOrder="0" shrinkToFit="0" vertical="center" wrapText="1"/>
    </xf>
    <xf borderId="1" fillId="0" fontId="8" numFmtId="0" xfId="0" applyAlignment="1" applyBorder="1" applyFont="1">
      <alignment horizontal="center" readingOrder="0" vertical="center"/>
    </xf>
    <xf borderId="1" fillId="0" fontId="26" numFmtId="0" xfId="0" applyAlignment="1" applyBorder="1" applyFont="1">
      <alignment horizontal="center" readingOrder="0" shrinkToFit="0" vertical="center" wrapText="1"/>
    </xf>
    <xf borderId="1" fillId="3" fontId="8" numFmtId="0" xfId="0" applyAlignment="1" applyBorder="1" applyFont="1">
      <alignment horizontal="center" readingOrder="0" vertical="center"/>
    </xf>
    <xf borderId="1" fillId="0" fontId="8" numFmtId="0" xfId="0" applyAlignment="1" applyBorder="1" applyFont="1">
      <alignment horizontal="center" readingOrder="0" shrinkToFit="0" vertical="center" wrapText="1"/>
    </xf>
    <xf borderId="1" fillId="0" fontId="6" numFmtId="0" xfId="0" applyAlignment="1" applyBorder="1" applyFont="1">
      <alignment horizontal="left" vertical="center"/>
    </xf>
    <xf borderId="1" fillId="0" fontId="16" numFmtId="0" xfId="0" applyAlignment="1" applyBorder="1" applyFont="1">
      <alignment readingOrder="0" shrinkToFit="0" vertical="top" wrapText="1"/>
    </xf>
    <xf borderId="1" fillId="0" fontId="6" numFmtId="0" xfId="0" applyAlignment="1" applyBorder="1" applyFont="1">
      <alignment horizontal="left" readingOrder="0" vertical="center"/>
    </xf>
    <xf borderId="1" fillId="0" fontId="8" numFmtId="0" xfId="0" applyAlignment="1" applyBorder="1" applyFont="1">
      <alignment horizontal="center" readingOrder="0" shrinkToFit="0" vertical="center" wrapText="1"/>
    </xf>
    <xf borderId="0" fillId="0" fontId="0" numFmtId="0" xfId="0" applyAlignment="1" applyFont="1">
      <alignment horizontal="left" readingOrder="0" shrinkToFit="0" vertical="center" wrapText="1"/>
    </xf>
    <xf borderId="1" fillId="0" fontId="27" numFmtId="0" xfId="0" applyAlignment="1" applyBorder="1" applyFont="1">
      <alignment horizontal="center" readingOrder="0" vertical="center"/>
    </xf>
    <xf borderId="1" fillId="0" fontId="0" numFmtId="0" xfId="0" applyAlignment="1" applyBorder="1" applyFont="1">
      <alignment horizontal="center" readingOrder="0" shrinkToFit="0" vertical="center" wrapText="1"/>
    </xf>
    <xf borderId="1" fillId="0" fontId="7" numFmtId="0" xfId="0" applyAlignment="1" applyBorder="1" applyFont="1">
      <alignment horizontal="center" readingOrder="0" shrinkToFit="0" vertical="center" wrapText="1"/>
    </xf>
    <xf borderId="1" fillId="0" fontId="28" numFmtId="0" xfId="0" applyAlignment="1" applyBorder="1" applyFont="1">
      <alignment horizontal="center" readingOrder="0" shrinkToFit="0" vertical="center" wrapText="1"/>
    </xf>
    <xf borderId="1" fillId="0" fontId="29" numFmtId="0" xfId="0" applyAlignment="1" applyBorder="1" applyFont="1">
      <alignment readingOrder="0" shrinkToFit="0" vertical="top" wrapText="1"/>
    </xf>
    <xf borderId="1" fillId="0" fontId="30" numFmtId="0" xfId="0" applyAlignment="1" applyBorder="1" applyFont="1">
      <alignment horizontal="center" readingOrder="0" vertical="center"/>
    </xf>
    <xf borderId="1" fillId="3" fontId="8" numFmtId="0" xfId="0" applyAlignment="1" applyBorder="1" applyFont="1">
      <alignment horizontal="center" readingOrder="0" shrinkToFit="0" vertical="center" wrapText="1"/>
    </xf>
    <xf borderId="1" fillId="6" fontId="16" numFmtId="164" xfId="0" applyAlignment="1" applyBorder="1" applyFont="1" applyNumberFormat="1">
      <alignment horizontal="center" vertical="center"/>
    </xf>
    <xf borderId="1" fillId="0" fontId="16" numFmtId="0" xfId="0" applyAlignment="1" applyBorder="1" applyFont="1">
      <alignment horizontal="center" vertical="center"/>
    </xf>
    <xf borderId="1" fillId="0" fontId="16" numFmtId="0" xfId="0" applyAlignment="1" applyBorder="1" applyFont="1">
      <alignment horizontal="center" readingOrder="0" vertical="center"/>
    </xf>
    <xf borderId="1" fillId="0" fontId="0" numFmtId="0" xfId="0" applyAlignment="1" applyBorder="1" applyFont="1">
      <alignment horizontal="left" readingOrder="0" shrinkToFit="0" vertical="center" wrapText="1"/>
    </xf>
    <xf borderId="1" fillId="0" fontId="8" numFmtId="166" xfId="0" applyAlignment="1" applyBorder="1" applyFont="1" applyNumberFormat="1">
      <alignment horizontal="center" readingOrder="0" shrinkToFit="0" vertical="center" wrapText="1"/>
    </xf>
    <xf borderId="1" fillId="0" fontId="25" numFmtId="0" xfId="0" applyAlignment="1" applyBorder="1" applyFont="1">
      <alignment horizontal="center" readingOrder="0" vertical="center"/>
    </xf>
    <xf borderId="1" fillId="0" fontId="31" numFmtId="0" xfId="0" applyAlignment="1" applyBorder="1" applyFont="1">
      <alignment horizontal="center" readingOrder="0" vertical="center"/>
    </xf>
    <xf borderId="1" fillId="0" fontId="32" numFmtId="0" xfId="0" applyAlignment="1" applyBorder="1" applyFont="1">
      <alignment horizontal="center" readingOrder="0" shrinkToFit="0" vertical="center" wrapText="1"/>
    </xf>
    <xf borderId="1" fillId="0" fontId="8" numFmtId="0" xfId="0" applyAlignment="1" applyBorder="1" applyFont="1">
      <alignment horizontal="center" readingOrder="0" vertical="center"/>
    </xf>
    <xf borderId="1" fillId="0" fontId="8" numFmtId="0" xfId="0" applyAlignment="1" applyBorder="1" applyFont="1">
      <alignment horizontal="center" readingOrder="0" shrinkToFit="0" vertical="center" wrapText="1"/>
    </xf>
    <xf borderId="1" fillId="0" fontId="33" numFmtId="0" xfId="0" applyAlignment="1" applyBorder="1" applyFont="1">
      <alignment horizontal="center" readingOrder="0" shrinkToFit="0" vertical="center" wrapText="1"/>
    </xf>
    <xf borderId="1" fillId="3" fontId="6" numFmtId="0" xfId="0" applyAlignment="1" applyBorder="1" applyFont="1">
      <alignment horizontal="left" vertical="center"/>
    </xf>
    <xf borderId="1" fillId="3" fontId="34" numFmtId="0" xfId="0" applyAlignment="1" applyBorder="1" applyFont="1">
      <alignment horizontal="left" readingOrder="0" shrinkToFit="0" vertical="center" wrapText="1"/>
    </xf>
    <xf borderId="2" fillId="0" fontId="29" numFmtId="0" xfId="0" applyAlignment="1" applyBorder="1" applyFont="1">
      <alignment readingOrder="0" shrinkToFit="0" wrapText="1"/>
    </xf>
    <xf borderId="1" fillId="0" fontId="26" numFmtId="0" xfId="0" applyAlignment="1" applyBorder="1" applyFont="1">
      <alignment horizontal="center" readingOrder="0" shrinkToFit="0" vertical="center" wrapText="1"/>
    </xf>
    <xf borderId="1" fillId="3" fontId="0" numFmtId="0" xfId="0" applyAlignment="1" applyBorder="1" applyFont="1">
      <alignment horizontal="left" readingOrder="0" shrinkToFit="0" wrapText="1"/>
    </xf>
    <xf borderId="1" fillId="0" fontId="35" numFmtId="0" xfId="0" applyAlignment="1" applyBorder="1" applyFont="1">
      <alignment horizontal="center" readingOrder="0" shrinkToFit="0" vertical="center" wrapText="1"/>
    </xf>
    <xf borderId="1" fillId="0" fontId="36" numFmtId="0" xfId="0" applyAlignment="1" applyBorder="1" applyFont="1">
      <alignment horizontal="center" readingOrder="0" vertical="center"/>
    </xf>
    <xf borderId="1" fillId="0" fontId="7" numFmtId="0" xfId="0" applyAlignment="1" applyBorder="1" applyFont="1">
      <alignment horizontal="center" readingOrder="0" vertical="center"/>
    </xf>
    <xf borderId="1" fillId="3" fontId="16" numFmtId="0" xfId="0" applyAlignment="1" applyBorder="1" applyFont="1">
      <alignment horizontal="center" readingOrder="0" shrinkToFit="0" vertical="center" wrapText="1"/>
    </xf>
    <xf borderId="1" fillId="0" fontId="7" numFmtId="164" xfId="0" applyAlignment="1" applyBorder="1" applyFont="1" applyNumberFormat="1">
      <alignment horizontal="center" shrinkToFit="0" vertical="center" wrapText="1"/>
    </xf>
    <xf borderId="1" fillId="0" fontId="29" numFmtId="0" xfId="0" applyAlignment="1" applyBorder="1" applyFont="1">
      <alignment horizontal="center" readingOrder="0" shrinkToFit="0" vertical="center" wrapText="1"/>
    </xf>
    <xf borderId="1" fillId="0" fontId="0" numFmtId="0" xfId="0" applyAlignment="1" applyBorder="1" applyFont="1">
      <alignment horizontal="left" readingOrder="0" shrinkToFit="0" vertical="center" wrapText="1"/>
    </xf>
    <xf borderId="0" fillId="3" fontId="37" numFmtId="0" xfId="0" applyAlignment="1" applyFont="1">
      <alignment readingOrder="0"/>
    </xf>
    <xf borderId="1" fillId="0" fontId="29" numFmtId="0" xfId="0" applyAlignment="1" applyBorder="1" applyFont="1">
      <alignment horizontal="center" readingOrder="0" vertical="top"/>
    </xf>
    <xf borderId="0" fillId="0" fontId="38" numFmtId="0" xfId="0" applyAlignment="1" applyFont="1">
      <alignment readingOrder="0"/>
    </xf>
    <xf borderId="0" fillId="0" fontId="6" numFmtId="0" xfId="0" applyAlignment="1" applyFont="1">
      <alignment horizontal="left" readingOrder="0" vertical="center"/>
    </xf>
    <xf borderId="1" fillId="0" fontId="29" numFmtId="0" xfId="0" applyAlignment="1" applyBorder="1" applyFont="1">
      <alignment horizontal="left" readingOrder="0" vertical="top"/>
    </xf>
    <xf borderId="1" fillId="0" fontId="39" numFmtId="0" xfId="0" applyAlignment="1" applyBorder="1" applyFont="1">
      <alignment horizontal="center" readingOrder="0" vertical="center"/>
    </xf>
    <xf borderId="1" fillId="0" fontId="8" numFmtId="0" xfId="0" applyAlignment="1" applyBorder="1" applyFont="1">
      <alignment horizontal="center" shrinkToFit="0" vertical="center" wrapText="1"/>
    </xf>
    <xf borderId="1" fillId="3" fontId="8" numFmtId="167" xfId="0" applyAlignment="1" applyBorder="1" applyFont="1" applyNumberFormat="1">
      <alignment horizontal="center" vertical="center"/>
    </xf>
    <xf borderId="1" fillId="0" fontId="16" numFmtId="0" xfId="0" applyAlignment="1" applyBorder="1" applyFont="1">
      <alignment horizontal="left" readingOrder="0" shrinkToFit="0" vertical="top" wrapText="1"/>
    </xf>
    <xf borderId="0" fillId="0" fontId="8" numFmtId="166" xfId="0" applyAlignment="1" applyFont="1" applyNumberFormat="1">
      <alignment horizontal="center" readingOrder="0" shrinkToFit="0" vertical="center" wrapText="1"/>
    </xf>
    <xf borderId="1" fillId="0" fontId="8" numFmtId="168" xfId="0" applyAlignment="1" applyBorder="1" applyFont="1" applyNumberFormat="1">
      <alignment horizontal="center" readingOrder="0" shrinkToFit="0" vertical="center" wrapText="1"/>
    </xf>
    <xf borderId="1" fillId="3" fontId="40" numFmtId="0" xfId="0" applyAlignment="1" applyBorder="1" applyFont="1">
      <alignment horizontal="center" readingOrder="0" vertical="center"/>
    </xf>
    <xf borderId="1" fillId="0" fontId="41" numFmtId="0" xfId="0" applyAlignment="1" applyBorder="1" applyFont="1">
      <alignment horizontal="center" readingOrder="0" shrinkToFit="0" vertical="center" wrapText="1"/>
    </xf>
    <xf borderId="1" fillId="3" fontId="21" numFmtId="0" xfId="0" applyAlignment="1" applyBorder="1" applyFont="1">
      <alignment horizontal="center" readingOrder="0" shrinkToFit="0" vertical="center" wrapText="1"/>
    </xf>
    <xf borderId="1" fillId="0" fontId="0" numFmtId="0" xfId="0" applyAlignment="1" applyBorder="1" applyFont="1">
      <alignment horizontal="center" readingOrder="0" vertical="center"/>
    </xf>
    <xf borderId="1" fillId="0" fontId="42" numFmtId="0" xfId="0" applyAlignment="1" applyBorder="1" applyFont="1">
      <alignment horizontal="center" readingOrder="0" vertical="center"/>
    </xf>
    <xf borderId="1" fillId="0" fontId="7" numFmtId="0" xfId="0" applyAlignment="1" applyBorder="1" applyFont="1">
      <alignment horizontal="center" readingOrder="0" vertical="center"/>
    </xf>
    <xf borderId="1" fillId="3" fontId="43" numFmtId="0" xfId="0" applyAlignment="1" applyBorder="1" applyFont="1">
      <alignment horizontal="left" readingOrder="0" shrinkToFit="0" vertical="center" wrapText="1"/>
    </xf>
    <xf borderId="3" fillId="0" fontId="44" numFmtId="0" xfId="0" applyAlignment="1" applyBorder="1" applyFont="1">
      <alignment horizontal="center" readingOrder="0" vertical="center"/>
    </xf>
    <xf borderId="3" fillId="0" fontId="45" numFmtId="0" xfId="0" applyAlignment="1" applyBorder="1" applyFont="1">
      <alignment horizontal="left" readingOrder="0"/>
    </xf>
    <xf borderId="1" fillId="0" fontId="46" numFmtId="0" xfId="0" applyAlignment="1" applyBorder="1" applyFont="1">
      <alignment horizontal="center" readingOrder="0" vertical="center"/>
    </xf>
    <xf borderId="1" fillId="3" fontId="8" numFmtId="0" xfId="0" applyAlignment="1" applyBorder="1" applyFont="1">
      <alignment horizontal="left" readingOrder="0" shrinkToFit="0" vertical="center" wrapText="1"/>
    </xf>
    <xf borderId="1" fillId="0" fontId="47" numFmtId="0" xfId="0" applyAlignment="1" applyBorder="1" applyFont="1">
      <alignment horizontal="left" readingOrder="0" shrinkToFit="0" vertical="center" wrapText="1"/>
    </xf>
    <xf borderId="4" fillId="3" fontId="48" numFmtId="0" xfId="0" applyAlignment="1" applyBorder="1" applyFont="1">
      <alignment horizontal="center" readingOrder="0" vertical="center"/>
    </xf>
    <xf borderId="0" fillId="3" fontId="8" numFmtId="0" xfId="0" applyAlignment="1" applyFont="1">
      <alignment horizontal="center" readingOrder="0" shrinkToFit="0" wrapText="1"/>
    </xf>
    <xf borderId="0" fillId="0" fontId="49" numFmtId="0" xfId="0" applyAlignment="1" applyFont="1">
      <alignment horizontal="left" readingOrder="0" shrinkToFit="0" vertical="center" wrapText="1"/>
    </xf>
    <xf borderId="0" fillId="3" fontId="50" numFmtId="0" xfId="0" applyAlignment="1" applyFont="1">
      <alignment readingOrder="0" shrinkToFit="0" wrapText="1"/>
    </xf>
    <xf borderId="0" fillId="0" fontId="51" numFmtId="0" xfId="0" applyAlignment="1" applyFont="1">
      <alignment horizontal="left" readingOrder="0" shrinkToFit="0" vertical="center" wrapText="1"/>
    </xf>
    <xf borderId="0" fillId="0" fontId="6" numFmtId="0" xfId="0" applyAlignment="1" applyFont="1">
      <alignment horizontal="left" vertical="center"/>
    </xf>
    <xf borderId="0" fillId="3" fontId="52" numFmtId="0" xfId="0" applyAlignment="1" applyFont="1">
      <alignment horizontal="center" readingOrder="0" vertical="center"/>
    </xf>
    <xf borderId="0" fillId="3" fontId="8" numFmtId="0" xfId="0" applyAlignment="1" applyFont="1">
      <alignment horizontal="center" readingOrder="0" shrinkToFit="0" vertical="center" wrapText="1"/>
    </xf>
    <xf borderId="1" fillId="3" fontId="8" numFmtId="0" xfId="0" applyAlignment="1" applyBorder="1" applyFont="1">
      <alignment horizontal="left" readingOrder="0" vertical="center"/>
    </xf>
    <xf borderId="1" fillId="6" fontId="7" numFmtId="164" xfId="0" applyAlignment="1" applyBorder="1" applyFont="1" applyNumberFormat="1">
      <alignment horizontal="center" vertical="center"/>
    </xf>
    <xf borderId="1" fillId="0" fontId="53" numFmtId="0" xfId="0" applyAlignment="1" applyBorder="1" applyFont="1">
      <alignment horizontal="center" readingOrder="0" vertical="center"/>
    </xf>
    <xf borderId="1" fillId="0" fontId="6" numFmtId="0" xfId="0" applyAlignment="1" applyBorder="1" applyFont="1">
      <alignment horizontal="center" readingOrder="0" shrinkToFit="0" vertical="center" wrapText="1"/>
    </xf>
    <xf borderId="1" fillId="0" fontId="54" numFmtId="0" xfId="0" applyAlignment="1" applyBorder="1" applyFont="1">
      <alignment horizontal="center" readingOrder="0" shrinkToFit="0" vertical="center" wrapText="1"/>
    </xf>
    <xf borderId="1" fillId="0" fontId="7" numFmtId="0" xfId="0" applyAlignment="1" applyBorder="1" applyFont="1">
      <alignment horizontal="center" vertical="center"/>
    </xf>
    <xf borderId="1" fillId="0" fontId="16" numFmtId="0" xfId="0" applyAlignment="1" applyBorder="1" applyFont="1">
      <alignment horizontal="center" readingOrder="0" shrinkToFit="0" vertical="center" wrapText="1"/>
    </xf>
    <xf borderId="1" fillId="0" fontId="16" numFmtId="0" xfId="0" applyAlignment="1" applyBorder="1" applyFont="1">
      <alignment horizontal="center" readingOrder="0" shrinkToFit="0" vertical="center" wrapText="1"/>
    </xf>
    <xf borderId="1" fillId="0" fontId="16" numFmtId="0" xfId="0" applyAlignment="1" applyBorder="1" applyFont="1">
      <alignment horizontal="left" readingOrder="0" shrinkToFit="0" vertical="center" wrapText="1"/>
    </xf>
    <xf borderId="1" fillId="0" fontId="55" numFmtId="0" xfId="0" applyAlignment="1" applyBorder="1" applyFont="1">
      <alignment horizontal="center" readingOrder="0" vertical="center"/>
    </xf>
    <xf borderId="1" fillId="0" fontId="56" numFmtId="0" xfId="0" applyAlignment="1" applyBorder="1" applyFont="1">
      <alignment horizontal="center" readingOrder="0" vertical="center"/>
    </xf>
    <xf borderId="1" fillId="0" fontId="57" numFmtId="0" xfId="0" applyAlignment="1" applyBorder="1" applyFont="1">
      <alignment horizontal="center" readingOrder="0"/>
    </xf>
    <xf borderId="1" fillId="2" fontId="3" numFmtId="0" xfId="0" applyAlignment="1" applyBorder="1" applyFont="1">
      <alignment horizontal="center" shrinkToFit="0" vertical="center" wrapText="1"/>
    </xf>
    <xf borderId="1" fillId="0" fontId="58" numFmtId="0" xfId="0" applyAlignment="1" applyBorder="1" applyFont="1">
      <alignment horizontal="center" readingOrder="0" vertical="bottom"/>
    </xf>
    <xf borderId="1" fillId="2" fontId="59" numFmtId="0" xfId="0" applyAlignment="1" applyBorder="1" applyFont="1">
      <alignment horizontal="center" readingOrder="0" shrinkToFit="0" vertical="center" wrapText="1"/>
    </xf>
    <xf borderId="1" fillId="2" fontId="59" numFmtId="0" xfId="0" applyAlignment="1" applyBorder="1" applyFont="1">
      <alignment horizontal="center" shrinkToFit="0" vertical="center" wrapText="1"/>
    </xf>
    <xf borderId="0" fillId="3" fontId="3" numFmtId="0" xfId="0" applyAlignment="1" applyFont="1">
      <alignment horizontal="center" readingOrder="0" shrinkToFit="0" vertical="center" wrapText="1"/>
    </xf>
    <xf borderId="1" fillId="0" fontId="16" numFmtId="0" xfId="0" applyAlignment="1" applyBorder="1" applyFont="1">
      <alignment horizontal="center" readingOrder="0" shrinkToFit="0" vertical="bottom" wrapText="1"/>
    </xf>
    <xf borderId="1" fillId="0" fontId="16" numFmtId="0" xfId="0" applyAlignment="1" applyBorder="1" applyFont="1">
      <alignment vertical="bottom"/>
    </xf>
    <xf borderId="0" fillId="0" fontId="29" numFmtId="0" xfId="0" applyAlignment="1" applyFont="1">
      <alignment horizontal="center" vertical="center"/>
    </xf>
    <xf borderId="0" fillId="7" fontId="16" numFmtId="0" xfId="0" applyAlignment="1" applyFill="1" applyFont="1">
      <alignment vertical="bottom"/>
    </xf>
    <xf borderId="0" fillId="0" fontId="8" numFmtId="0" xfId="0" applyAlignment="1" applyFont="1">
      <alignment horizontal="center" readingOrder="0" shrinkToFit="0" vertical="center" wrapText="1"/>
    </xf>
    <xf borderId="0" fillId="7" fontId="60" numFmtId="0" xfId="0" applyAlignment="1" applyFont="1">
      <alignment readingOrder="0" vertical="bottom"/>
    </xf>
    <xf borderId="1" fillId="0" fontId="29" numFmtId="169" xfId="0" applyAlignment="1" applyBorder="1" applyFont="1" applyNumberFormat="1">
      <alignment horizontal="center" readingOrder="0" shrinkToFit="0" vertical="center" wrapText="1"/>
    </xf>
    <xf borderId="1" fillId="0" fontId="61" numFmtId="0" xfId="0" applyAlignment="1" applyBorder="1" applyFont="1">
      <alignment horizontal="center" readingOrder="0" shrinkToFit="0" vertical="center" wrapText="0"/>
    </xf>
    <xf borderId="1" fillId="0" fontId="25" numFmtId="0" xfId="0" applyAlignment="1" applyBorder="1" applyFont="1">
      <alignment horizontal="center" readingOrder="0" shrinkToFit="0" vertical="center" wrapText="1"/>
    </xf>
    <xf borderId="1" fillId="0" fontId="62" numFmtId="0" xfId="0" applyAlignment="1" applyBorder="1" applyFont="1">
      <alignment horizontal="center" readingOrder="0" shrinkToFit="0" vertical="center" wrapText="1"/>
    </xf>
    <xf borderId="1" fillId="0" fontId="63" numFmtId="169" xfId="0" applyAlignment="1" applyBorder="1" applyFont="1" applyNumberFormat="1">
      <alignment horizontal="center" readingOrder="0" shrinkToFit="0" vertical="center" wrapText="1"/>
    </xf>
    <xf borderId="1" fillId="0" fontId="63" numFmtId="0" xfId="0" applyAlignment="1" applyBorder="1" applyFont="1">
      <alignment horizontal="center" readingOrder="0" shrinkToFit="0" vertical="center" wrapText="1"/>
    </xf>
    <xf borderId="1" fillId="0" fontId="64" numFmtId="0" xfId="0" applyAlignment="1" applyBorder="1" applyFont="1">
      <alignment horizontal="center" readingOrder="0" vertical="center"/>
    </xf>
    <xf borderId="1" fillId="0" fontId="65" numFmtId="0" xfId="0" applyAlignment="1" applyBorder="1" applyFont="1">
      <alignment horizontal="center" readingOrder="0" vertical="center"/>
    </xf>
    <xf borderId="0" fillId="0" fontId="66" numFmtId="0" xfId="0" applyAlignment="1" applyFont="1">
      <alignment horizontal="center" readingOrder="0"/>
    </xf>
    <xf borderId="1" fillId="3" fontId="21" numFmtId="0" xfId="0" applyAlignment="1" applyBorder="1" applyFont="1">
      <alignment horizontal="center" readingOrder="0" vertical="center"/>
    </xf>
    <xf borderId="1" fillId="3" fontId="8" numFmtId="0" xfId="0" applyAlignment="1" applyBorder="1" applyFont="1">
      <alignment horizontal="center" readingOrder="0" vertical="center"/>
    </xf>
    <xf borderId="1" fillId="3" fontId="21" numFmtId="0" xfId="0" applyAlignment="1" applyBorder="1" applyFont="1">
      <alignment horizontal="left" readingOrder="0" vertical="center"/>
    </xf>
    <xf borderId="1" fillId="0" fontId="67" numFmtId="0" xfId="0" applyAlignment="1" applyBorder="1" applyFont="1">
      <alignment horizontal="center" readingOrder="0" vertical="center"/>
    </xf>
    <xf borderId="0" fillId="6" fontId="7" numFmtId="164" xfId="0" applyAlignment="1" applyFont="1" applyNumberFormat="1">
      <alignment horizontal="center" vertical="center"/>
    </xf>
    <xf borderId="1" fillId="3" fontId="68" numFmtId="0" xfId="0" applyAlignment="1" applyBorder="1" applyFont="1">
      <alignment horizontal="center" readingOrder="0" vertical="center"/>
    </xf>
    <xf borderId="1" fillId="5" fontId="16" numFmtId="164" xfId="0" applyAlignment="1" applyBorder="1" applyFont="1" applyNumberFormat="1">
      <alignment horizontal="center" vertical="center"/>
    </xf>
    <xf borderId="1" fillId="5" fontId="16" numFmtId="0" xfId="0" applyAlignment="1" applyBorder="1" applyFont="1">
      <alignment horizontal="center" vertical="center"/>
    </xf>
    <xf borderId="1" fillId="5" fontId="8" numFmtId="0" xfId="0" applyAlignment="1" applyBorder="1" applyFont="1">
      <alignment horizontal="center" readingOrder="0" shrinkToFit="0" vertical="center" wrapText="1"/>
    </xf>
    <xf borderId="1" fillId="5" fontId="16" numFmtId="0" xfId="0" applyAlignment="1" applyBorder="1" applyFont="1">
      <alignment horizontal="center" readingOrder="0" vertical="center"/>
    </xf>
    <xf borderId="1" fillId="5" fontId="69" numFmtId="0" xfId="0" applyAlignment="1" applyBorder="1" applyFont="1">
      <alignment horizontal="center" readingOrder="0" vertical="center"/>
    </xf>
    <xf borderId="1" fillId="5" fontId="70" numFmtId="0" xfId="0" applyAlignment="1" applyBorder="1" applyFont="1">
      <alignment horizontal="center" readingOrder="0" shrinkToFit="0" vertical="center" wrapText="1"/>
    </xf>
    <xf borderId="1" fillId="5" fontId="71" numFmtId="0" xfId="0" applyAlignment="1" applyBorder="1" applyFont="1">
      <alignment horizontal="center" readingOrder="0" shrinkToFit="0" vertical="center" wrapText="1"/>
    </xf>
    <xf borderId="1" fillId="5" fontId="7" numFmtId="0" xfId="0" applyAlignment="1" applyBorder="1" applyFont="1">
      <alignment horizontal="center" readingOrder="0" vertical="center"/>
    </xf>
    <xf borderId="1" fillId="5" fontId="16" numFmtId="0" xfId="0" applyAlignment="1" applyBorder="1" applyFont="1">
      <alignment horizontal="center" readingOrder="0" shrinkToFit="0" vertical="center" wrapText="1"/>
    </xf>
    <xf borderId="1" fillId="5" fontId="8" numFmtId="167" xfId="0" applyAlignment="1" applyBorder="1" applyFont="1" applyNumberFormat="1">
      <alignment horizontal="center" readingOrder="0" shrinkToFit="0" vertical="center" wrapText="1"/>
    </xf>
    <xf borderId="1" fillId="5" fontId="72" numFmtId="0" xfId="0" applyAlignment="1" applyBorder="1" applyFont="1">
      <alignment horizontal="center" readingOrder="0" vertical="center"/>
    </xf>
    <xf borderId="1" fillId="5" fontId="8" numFmtId="0" xfId="0" applyAlignment="1" applyBorder="1" applyFont="1">
      <alignment horizontal="center" readingOrder="0" vertical="center"/>
    </xf>
    <xf borderId="1" fillId="2" fontId="73" numFmtId="0" xfId="0" applyAlignment="1" applyBorder="1" applyFont="1">
      <alignment horizontal="center" readingOrder="0" shrinkToFit="0" vertical="center" wrapText="1"/>
    </xf>
    <xf borderId="1" fillId="2" fontId="59" numFmtId="0" xfId="0" applyAlignment="1" applyBorder="1" applyFont="1">
      <alignment horizontal="left" readingOrder="0" shrinkToFit="0" vertical="center" wrapText="1"/>
    </xf>
    <xf borderId="1" fillId="8" fontId="14" numFmtId="0" xfId="0" applyAlignment="1" applyBorder="1" applyFill="1" applyFont="1">
      <alignment horizontal="center" readingOrder="0" shrinkToFit="0" vertical="center" wrapText="1"/>
    </xf>
    <xf borderId="1" fillId="2" fontId="74" numFmtId="0" xfId="0" applyAlignment="1" applyBorder="1" applyFont="1">
      <alignment horizontal="center" readingOrder="0" shrinkToFit="0" vertical="center" wrapText="1"/>
    </xf>
    <xf borderId="1" fillId="8" fontId="8" numFmtId="0" xfId="0" applyAlignment="1" applyBorder="1" applyFont="1">
      <alignment horizontal="left" readingOrder="0" vertical="center"/>
    </xf>
    <xf borderId="1" fillId="2" fontId="2" numFmtId="0" xfId="0" applyAlignment="1" applyBorder="1" applyFont="1">
      <alignment horizontal="center" readingOrder="0" shrinkToFit="0" vertical="center" wrapText="1"/>
    </xf>
    <xf borderId="1" fillId="0" fontId="8" numFmtId="0" xfId="0" applyAlignment="1" applyBorder="1" applyFont="1">
      <alignment horizontal="center" readingOrder="0" shrinkToFit="0" wrapText="1"/>
    </xf>
    <xf borderId="0" fillId="0" fontId="8" numFmtId="170" xfId="0" applyAlignment="1" applyFont="1" applyNumberFormat="1">
      <alignment horizontal="center" readingOrder="0" shrinkToFit="0" wrapText="1"/>
    </xf>
    <xf borderId="1" fillId="6" fontId="7" numFmtId="164" xfId="0" applyAlignment="1" applyBorder="1" applyFont="1" applyNumberFormat="1">
      <alignment horizontal="left" vertical="center"/>
    </xf>
    <xf borderId="1" fillId="0" fontId="8" numFmtId="0" xfId="0" applyAlignment="1" applyBorder="1" applyFont="1">
      <alignment horizontal="left" readingOrder="0" vertical="center"/>
    </xf>
    <xf borderId="1" fillId="0" fontId="75" numFmtId="0" xfId="0" applyAlignment="1" applyBorder="1" applyFont="1">
      <alignment horizontal="left" readingOrder="0" vertical="center"/>
    </xf>
    <xf borderId="1" fillId="0" fontId="7" numFmtId="0" xfId="0" applyAlignment="1" applyBorder="1" applyFont="1">
      <alignment horizontal="center" readingOrder="0" shrinkToFit="0" vertical="center" wrapText="1"/>
    </xf>
    <xf borderId="1" fillId="0" fontId="8" numFmtId="170" xfId="0" applyAlignment="1" applyBorder="1" applyFont="1" applyNumberFormat="1">
      <alignment horizontal="center" readingOrder="0" shrinkToFit="0" wrapText="1"/>
    </xf>
    <xf borderId="1" fillId="3" fontId="76" numFmtId="0" xfId="0" applyAlignment="1" applyBorder="1" applyFont="1">
      <alignment horizontal="center" readingOrder="0" shrinkToFit="0" vertical="center" wrapText="1"/>
    </xf>
    <xf borderId="1" fillId="6" fontId="7" numFmtId="171" xfId="0" applyAlignment="1" applyBorder="1" applyFont="1" applyNumberFormat="1">
      <alignment horizontal="center" readingOrder="0" shrinkToFit="0" vertical="center" wrapText="1"/>
    </xf>
    <xf borderId="1" fillId="0" fontId="16" numFmtId="0" xfId="0" applyAlignment="1" applyBorder="1" applyFont="1">
      <alignment horizontal="left" readingOrder="0" vertical="center"/>
    </xf>
    <xf borderId="1" fillId="0" fontId="8" numFmtId="0" xfId="0" applyAlignment="1" applyBorder="1" applyFont="1">
      <alignment horizontal="left" readingOrder="0" shrinkToFit="0" vertical="center" wrapText="1"/>
    </xf>
    <xf borderId="1" fillId="5" fontId="7" numFmtId="164" xfId="0" applyAlignment="1" applyBorder="1" applyFont="1" applyNumberFormat="1">
      <alignment horizontal="left" vertical="center"/>
    </xf>
    <xf borderId="1" fillId="5" fontId="8" numFmtId="0" xfId="0" applyAlignment="1" applyBorder="1" applyFont="1">
      <alignment horizontal="left" readingOrder="0" vertical="center"/>
    </xf>
    <xf borderId="1" fillId="5" fontId="77" numFmtId="0" xfId="0" applyAlignment="1" applyBorder="1" applyFont="1">
      <alignment horizontal="left" readingOrder="0" vertical="center"/>
    </xf>
    <xf borderId="1" fillId="0" fontId="78" numFmtId="0" xfId="0" applyAlignment="1" applyBorder="1" applyFont="1">
      <alignment horizontal="center" readingOrder="0" shrinkToFit="0" vertical="center" wrapText="1"/>
    </xf>
    <xf borderId="1" fillId="5" fontId="8" numFmtId="167" xfId="0" applyAlignment="1" applyBorder="1" applyFont="1" applyNumberFormat="1">
      <alignment horizontal="center" readingOrder="0" shrinkToFit="0" vertical="center" wrapText="1"/>
    </xf>
    <xf borderId="1" fillId="5" fontId="6" numFmtId="0" xfId="0" applyAlignment="1" applyBorder="1" applyFont="1">
      <alignment horizontal="left" readingOrder="0" shrinkToFit="0" vertical="center" wrapText="1"/>
    </xf>
    <xf borderId="1" fillId="0" fontId="79" numFmtId="0" xfId="0" applyAlignment="1" applyBorder="1" applyFont="1">
      <alignment horizontal="center" readingOrder="0" shrinkToFit="0" vertical="center" wrapText="1"/>
    </xf>
    <xf borderId="1" fillId="5" fontId="26" numFmtId="0" xfId="0" applyAlignment="1" applyBorder="1" applyFont="1">
      <alignment horizontal="center" readingOrder="0" shrinkToFit="0" vertical="center" wrapText="1"/>
    </xf>
    <xf borderId="1" fillId="5" fontId="8" numFmtId="0" xfId="0" applyAlignment="1" applyBorder="1" applyFont="1">
      <alignment horizontal="center" readingOrder="0" shrinkToFit="0" vertical="center" wrapText="1"/>
    </xf>
    <xf borderId="1" fillId="5" fontId="16" numFmtId="0" xfId="0" applyAlignment="1" applyBorder="1" applyFont="1">
      <alignment horizontal="center" readingOrder="0" shrinkToFit="0" vertical="center" wrapText="1"/>
    </xf>
    <xf borderId="1" fillId="5" fontId="6" numFmtId="0" xfId="0" applyAlignment="1" applyBorder="1" applyFont="1">
      <alignment horizontal="center" readingOrder="0" shrinkToFit="0" vertical="center" wrapText="1"/>
    </xf>
    <xf borderId="1" fillId="5" fontId="16" numFmtId="0" xfId="0" applyAlignment="1" applyBorder="1" applyFont="1">
      <alignment horizontal="left" readingOrder="0" vertical="center"/>
    </xf>
    <xf borderId="1" fillId="5" fontId="16" numFmtId="0" xfId="0" applyAlignment="1" applyBorder="1" applyFont="1">
      <alignment horizontal="left" readingOrder="0" shrinkToFit="0" vertical="center" wrapText="1"/>
    </xf>
    <xf borderId="0" fillId="5" fontId="8" numFmtId="0" xfId="0" applyAlignment="1" applyFont="1">
      <alignment horizontal="center" readingOrder="0" shrinkToFit="0" vertical="center" wrapText="1"/>
    </xf>
    <xf borderId="1" fillId="5" fontId="8" numFmtId="0" xfId="0" applyAlignment="1" applyBorder="1" applyFont="1">
      <alignment horizontal="left" readingOrder="0" shrinkToFit="0" vertical="center" wrapText="1"/>
    </xf>
    <xf borderId="1" fillId="0" fontId="7" numFmtId="164" xfId="0" applyAlignment="1" applyBorder="1" applyFont="1" applyNumberFormat="1">
      <alignment horizontal="left" vertical="center"/>
    </xf>
    <xf borderId="1" fillId="0" fontId="8" numFmtId="167" xfId="0" applyAlignment="1" applyBorder="1" applyFont="1" applyNumberFormat="1">
      <alignment horizontal="center" readingOrder="0" shrinkToFit="0" vertical="center" wrapText="1"/>
    </xf>
    <xf borderId="1" fillId="0" fontId="7" numFmtId="0" xfId="0" applyAlignment="1" applyBorder="1" applyFont="1">
      <alignment horizontal="center" readingOrder="0" vertical="center"/>
    </xf>
    <xf borderId="1" fillId="0" fontId="80" numFmtId="0" xfId="0" applyAlignment="1" applyBorder="1" applyFont="1">
      <alignment horizontal="center" readingOrder="0" shrinkToFit="0" vertical="center" wrapText="1"/>
    </xf>
    <xf borderId="1" fillId="3" fontId="16" numFmtId="0" xfId="0" applyAlignment="1" applyBorder="1" applyFont="1">
      <alignment horizontal="center" shrinkToFit="0" vertical="center" wrapText="1"/>
    </xf>
    <xf borderId="1" fillId="6" fontId="7" numFmtId="164" xfId="0" applyAlignment="1" applyBorder="1" applyFont="1" applyNumberFormat="1">
      <alignment vertical="top"/>
    </xf>
    <xf borderId="1" fillId="0" fontId="8" numFmtId="0" xfId="0" applyAlignment="1" applyBorder="1" applyFont="1">
      <alignment horizontal="left" readingOrder="0" vertical="top"/>
    </xf>
    <xf borderId="1" fillId="0" fontId="81" numFmtId="0" xfId="0" applyAlignment="1" applyBorder="1" applyFont="1">
      <alignment readingOrder="0" vertical="top"/>
    </xf>
    <xf borderId="1" fillId="0" fontId="8" numFmtId="167" xfId="0" applyAlignment="1" applyBorder="1" applyFont="1" applyNumberFormat="1">
      <alignment horizontal="left" readingOrder="0" shrinkToFit="0" vertical="top" wrapText="1"/>
    </xf>
    <xf borderId="1" fillId="0" fontId="0" numFmtId="0" xfId="0" applyAlignment="1" applyBorder="1" applyFont="1">
      <alignment readingOrder="0" shrinkToFit="0" vertical="top" wrapText="1"/>
    </xf>
    <xf borderId="1" fillId="0" fontId="25" numFmtId="0" xfId="0" applyAlignment="1" applyBorder="1" applyFont="1">
      <alignment horizontal="left" readingOrder="0" vertical="top"/>
    </xf>
    <xf borderId="1" fillId="0" fontId="8" numFmtId="0" xfId="0" applyAlignment="1" applyBorder="1" applyFont="1">
      <alignment readingOrder="0" vertical="top"/>
    </xf>
    <xf borderId="1" fillId="0" fontId="82" numFmtId="0" xfId="0" applyAlignment="1" applyBorder="1" applyFont="1">
      <alignment readingOrder="0" shrinkToFit="0" vertical="top" wrapText="1"/>
    </xf>
    <xf borderId="1" fillId="0" fontId="83" numFmtId="0" xfId="0" applyAlignment="1" applyBorder="1" applyFont="1">
      <alignment horizontal="center" readingOrder="0" vertical="top"/>
    </xf>
    <xf borderId="1" fillId="0" fontId="8" numFmtId="0" xfId="0" applyAlignment="1" applyBorder="1" applyFont="1">
      <alignment horizontal="left" readingOrder="0" shrinkToFit="0" vertical="top" wrapText="1"/>
    </xf>
    <xf borderId="5" fillId="0" fontId="84" numFmtId="0" xfId="0" applyAlignment="1" applyBorder="1" applyFont="1">
      <alignment readingOrder="0" vertical="bottom"/>
    </xf>
    <xf borderId="1" fillId="0" fontId="0" numFmtId="0" xfId="0" applyAlignment="1" applyBorder="1" applyFont="1">
      <alignment readingOrder="0" vertical="top"/>
    </xf>
    <xf borderId="1" fillId="0" fontId="85" numFmtId="0" xfId="0" applyAlignment="1" applyBorder="1" applyFont="1">
      <alignment horizontal="left" readingOrder="0" vertical="top"/>
    </xf>
    <xf borderId="1" fillId="3" fontId="8" numFmtId="0" xfId="0" applyAlignment="1" applyBorder="1" applyFont="1">
      <alignment horizontal="left" readingOrder="0" vertical="top"/>
    </xf>
    <xf borderId="1" fillId="0" fontId="86" numFmtId="0" xfId="0" applyAlignment="1" applyBorder="1" applyFont="1">
      <alignment readingOrder="0" shrinkToFit="0" vertical="top" wrapText="1"/>
    </xf>
    <xf borderId="1" fillId="0" fontId="87" numFmtId="0" xfId="0" applyAlignment="1" applyBorder="1" applyFont="1">
      <alignment readingOrder="0" shrinkToFit="0" vertical="top" wrapText="1"/>
    </xf>
    <xf borderId="1" fillId="0" fontId="8" numFmtId="0" xfId="0" applyAlignment="1" applyBorder="1" applyFont="1">
      <alignment horizontal="center" readingOrder="0" vertical="top"/>
    </xf>
    <xf borderId="1" fillId="6" fontId="7" numFmtId="164" xfId="0" applyAlignment="1" applyBorder="1" applyFont="1" applyNumberFormat="1">
      <alignment horizontal="left" shrinkToFit="0" vertical="top" wrapText="1"/>
    </xf>
    <xf borderId="1" fillId="0" fontId="8" numFmtId="0" xfId="0" applyAlignment="1" applyBorder="1" applyFont="1">
      <alignment horizontal="left" readingOrder="0" shrinkToFit="0" vertical="top" wrapText="1"/>
    </xf>
    <xf borderId="1" fillId="0" fontId="88" numFmtId="0" xfId="0" applyAlignment="1" applyBorder="1" applyFont="1">
      <alignment horizontal="left" readingOrder="0" shrinkToFit="0" vertical="top" wrapText="1"/>
    </xf>
    <xf borderId="1" fillId="0" fontId="0" numFmtId="0" xfId="0" applyAlignment="1" applyBorder="1" applyFont="1">
      <alignment horizontal="left" readingOrder="0" shrinkToFit="0" vertical="top" wrapText="1"/>
    </xf>
    <xf borderId="1" fillId="0" fontId="89" numFmtId="0" xfId="0" applyAlignment="1" applyBorder="1" applyFont="1">
      <alignment horizontal="left" readingOrder="0" shrinkToFit="0" vertical="top" wrapText="1"/>
    </xf>
    <xf borderId="1" fillId="0" fontId="90" numFmtId="0" xfId="0" applyAlignment="1" applyBorder="1" applyFont="1">
      <alignment readingOrder="0"/>
    </xf>
    <xf borderId="1" fillId="0" fontId="8" numFmtId="0" xfId="0" applyAlignment="1" applyBorder="1" applyFont="1">
      <alignment horizontal="center" readingOrder="0" shrinkToFit="0" vertical="top" wrapText="1"/>
    </xf>
    <xf borderId="1" fillId="0" fontId="0" numFmtId="0" xfId="0" applyAlignment="1" applyBorder="1" applyFont="1">
      <alignment readingOrder="0"/>
    </xf>
    <xf borderId="3" fillId="3" fontId="91" numFmtId="0" xfId="0" applyAlignment="1" applyBorder="1" applyFont="1">
      <alignment horizontal="center" readingOrder="0" vertical="center"/>
    </xf>
    <xf borderId="0" fillId="3" fontId="92" numFmtId="0" xfId="0" applyAlignment="1" applyFont="1">
      <alignment horizontal="center" readingOrder="0" shrinkToFit="0" vertical="center" wrapText="1"/>
    </xf>
    <xf borderId="3" fillId="0" fontId="29" numFmtId="0" xfId="0" applyAlignment="1" applyBorder="1" applyFont="1">
      <alignment horizontal="center" readingOrder="0" shrinkToFit="0" vertical="center" wrapText="1"/>
    </xf>
    <xf borderId="1" fillId="3" fontId="8" numFmtId="0" xfId="0" applyAlignment="1" applyBorder="1" applyFont="1">
      <alignment horizontal="left" readingOrder="0"/>
    </xf>
    <xf borderId="1" fillId="0" fontId="93" numFmtId="0" xfId="0" applyAlignment="1" applyBorder="1" applyFont="1">
      <alignment horizontal="left" readingOrder="0" shrinkToFit="0" vertical="top" wrapText="1"/>
    </xf>
    <xf borderId="1" fillId="6" fontId="7" numFmtId="164" xfId="0" applyAlignment="1" applyBorder="1" applyFont="1" applyNumberFormat="1">
      <alignment horizontal="left" vertical="top"/>
    </xf>
    <xf borderId="1" fillId="0" fontId="8" numFmtId="0" xfId="0" applyAlignment="1" applyBorder="1" applyFont="1">
      <alignment horizontal="left" readingOrder="0" vertical="top"/>
    </xf>
    <xf borderId="1" fillId="0" fontId="94" numFmtId="0" xfId="0" applyAlignment="1" applyBorder="1" applyFont="1">
      <alignment horizontal="left" readingOrder="0" vertical="top"/>
    </xf>
    <xf borderId="1" fillId="0" fontId="8" numFmtId="167" xfId="0" applyAlignment="1" applyBorder="1" applyFont="1" applyNumberFormat="1">
      <alignment horizontal="left" readingOrder="0" shrinkToFit="0" vertical="top" wrapText="1"/>
    </xf>
    <xf borderId="1" fillId="0" fontId="6" numFmtId="0" xfId="0" applyAlignment="1" applyBorder="1" applyFont="1">
      <alignment horizontal="left" readingOrder="0" shrinkToFit="0" vertical="top" wrapText="1"/>
    </xf>
    <xf borderId="1" fillId="0" fontId="26" numFmtId="0" xfId="0" applyAlignment="1" applyBorder="1" applyFont="1">
      <alignment horizontal="left" readingOrder="0" shrinkToFit="0" vertical="top" wrapText="1"/>
    </xf>
    <xf borderId="0" fillId="3" fontId="16" numFmtId="0" xfId="0" applyAlignment="1" applyFont="1">
      <alignment horizontal="center" readingOrder="0" shrinkToFit="0" vertical="center" wrapText="1"/>
    </xf>
    <xf borderId="0" fillId="3" fontId="16" numFmtId="0" xfId="0" applyAlignment="1" applyFont="1">
      <alignment horizontal="center" readingOrder="0" vertical="center"/>
    </xf>
    <xf borderId="1" fillId="0" fontId="95" numFmtId="0" xfId="0" applyAlignment="1" applyBorder="1" applyFont="1">
      <alignment horizontal="center" readingOrder="0" vertical="center"/>
    </xf>
    <xf borderId="1" fillId="0" fontId="16" numFmtId="0" xfId="0" applyAlignment="1" applyBorder="1" applyFont="1">
      <alignment horizontal="left" readingOrder="0" vertical="top"/>
    </xf>
    <xf borderId="1" fillId="0" fontId="8" numFmtId="0" xfId="0" applyAlignment="1" applyBorder="1" applyFont="1">
      <alignment horizontal="left" readingOrder="0" shrinkToFit="0" vertical="top" wrapText="1"/>
    </xf>
    <xf borderId="1" fillId="0" fontId="96" numFmtId="0" xfId="0" applyAlignment="1" applyBorder="1" applyFont="1">
      <alignment horizontal="left" readingOrder="0" vertical="top"/>
    </xf>
    <xf borderId="1" fillId="0" fontId="29" numFmtId="0" xfId="0" applyAlignment="1" applyBorder="1" applyFont="1">
      <alignment horizontal="center" readingOrder="0" shrinkToFit="0" vertical="center" wrapText="1"/>
    </xf>
    <xf borderId="1" fillId="3" fontId="60" numFmtId="0" xfId="0" applyAlignment="1" applyBorder="1" applyFont="1">
      <alignment horizontal="left" readingOrder="0" vertical="center"/>
    </xf>
    <xf borderId="1" fillId="0" fontId="97" numFmtId="0" xfId="0" applyAlignment="1" applyBorder="1" applyFont="1">
      <alignment horizontal="center" readingOrder="0" vertical="center"/>
    </xf>
    <xf borderId="1" fillId="3" fontId="8" numFmtId="0" xfId="0" applyAlignment="1" applyBorder="1" applyFont="1">
      <alignment horizontal="center" readingOrder="0" shrinkToFit="0" vertical="center" wrapText="1"/>
    </xf>
    <xf borderId="1" fillId="0" fontId="21" numFmtId="0" xfId="0" applyAlignment="1" applyBorder="1" applyFont="1">
      <alignment horizontal="center" readingOrder="0" vertical="center"/>
    </xf>
    <xf borderId="1" fillId="0" fontId="25" numFmtId="0" xfId="0" applyAlignment="1" applyBorder="1" applyFont="1">
      <alignment horizontal="left" readingOrder="0" shrinkToFit="0" vertical="top" wrapText="1"/>
    </xf>
    <xf borderId="1" fillId="0" fontId="8" numFmtId="0" xfId="0" applyAlignment="1" applyBorder="1" applyFont="1">
      <alignment horizontal="center" readingOrder="0" vertical="center"/>
    </xf>
    <xf borderId="1" fillId="0" fontId="98" numFmtId="0" xfId="0" applyAlignment="1" applyBorder="1" applyFont="1">
      <alignment horizontal="center" readingOrder="0" shrinkToFit="0" vertical="center" wrapText="1"/>
    </xf>
    <xf borderId="1" fillId="0" fontId="99" numFmtId="0" xfId="0" applyAlignment="1" applyBorder="1" applyFont="1">
      <alignment horizontal="left" readingOrder="0" shrinkToFit="0" vertical="top" wrapText="1"/>
    </xf>
    <xf borderId="1" fillId="0" fontId="83" numFmtId="0" xfId="0" applyAlignment="1" applyBorder="1" applyFont="1">
      <alignment horizontal="center" readingOrder="0" shrinkToFit="0" vertical="top" wrapText="1"/>
    </xf>
    <xf borderId="1" fillId="0" fontId="100" numFmtId="0" xfId="0" applyAlignment="1" applyBorder="1" applyFont="1">
      <alignment horizontal="center" readingOrder="0" vertical="center"/>
    </xf>
    <xf borderId="1" fillId="0" fontId="8" numFmtId="170" xfId="0" applyAlignment="1" applyBorder="1" applyFont="1" applyNumberFormat="1">
      <alignment horizontal="center" readingOrder="0" shrinkToFit="0" vertical="center" wrapText="1"/>
    </xf>
    <xf borderId="1" fillId="3" fontId="21" numFmtId="0" xfId="0" applyAlignment="1" applyBorder="1" applyFont="1">
      <alignment horizontal="left" readingOrder="0"/>
    </xf>
    <xf borderId="1" fillId="3" fontId="8" numFmtId="0" xfId="0" applyAlignment="1" applyBorder="1" applyFont="1">
      <alignment horizontal="left" readingOrder="0"/>
    </xf>
    <xf borderId="1" fillId="7" fontId="101" numFmtId="0" xfId="0" applyAlignment="1" applyBorder="1" applyFont="1">
      <alignment horizontal="center" readingOrder="0" vertical="center"/>
    </xf>
    <xf borderId="1" fillId="7" fontId="7" numFmtId="0" xfId="0" applyAlignment="1" applyBorder="1" applyFont="1">
      <alignment horizontal="center" readingOrder="0" vertical="center"/>
    </xf>
    <xf borderId="1" fillId="3" fontId="102" numFmtId="0" xfId="0" applyAlignment="1" applyBorder="1" applyFont="1">
      <alignment horizontal="center" readingOrder="0" vertical="center"/>
    </xf>
    <xf borderId="1" fillId="3" fontId="7" numFmtId="0" xfId="0" applyAlignment="1" applyBorder="1" applyFont="1">
      <alignment horizontal="center" readingOrder="0" vertical="center"/>
    </xf>
    <xf borderId="1" fillId="3" fontId="8" numFmtId="0" xfId="0" applyAlignment="1" applyBorder="1" applyFont="1">
      <alignment horizontal="center" readingOrder="0" shrinkToFit="0" vertical="center" wrapText="1"/>
    </xf>
    <xf borderId="1" fillId="5" fontId="29" numFmtId="0" xfId="0" applyAlignment="1" applyBorder="1" applyFont="1">
      <alignment horizontal="center" vertical="center"/>
    </xf>
    <xf borderId="1" fillId="5" fontId="29" numFmtId="0" xfId="0" applyAlignment="1" applyBorder="1" applyFont="1">
      <alignment horizontal="center" shrinkToFit="0" vertical="center" wrapText="1"/>
    </xf>
    <xf borderId="1" fillId="0" fontId="29" numFmtId="0" xfId="0" applyAlignment="1" applyBorder="1" applyFont="1">
      <alignment horizontal="center" readingOrder="0" vertical="center"/>
    </xf>
    <xf borderId="1" fillId="0" fontId="8" numFmtId="0" xfId="0" applyAlignment="1" applyBorder="1" applyFont="1">
      <alignment horizontal="left" readingOrder="0" shrinkToFit="0" vertical="center" wrapText="1"/>
    </xf>
    <xf borderId="1" fillId="3" fontId="103" numFmtId="0" xfId="0" applyAlignment="1" applyBorder="1" applyFont="1">
      <alignment horizontal="center" readingOrder="0" shrinkToFit="0" vertical="center" wrapText="1"/>
    </xf>
    <xf borderId="0" fillId="6" fontId="7" numFmtId="164" xfId="0" applyAlignment="1" applyFont="1" applyNumberFormat="1">
      <alignment horizontal="center" shrinkToFit="0" vertical="center" wrapText="1"/>
    </xf>
    <xf borderId="0" fillId="0" fontId="8" numFmtId="0" xfId="0" applyAlignment="1" applyFont="1">
      <alignment horizontal="center" readingOrder="0" shrinkToFit="0" vertical="center" wrapText="1"/>
    </xf>
    <xf borderId="0" fillId="0" fontId="104" numFmtId="0" xfId="0" applyAlignment="1" applyFont="1">
      <alignment horizontal="center" readingOrder="0" shrinkToFit="0" vertical="center" wrapText="1"/>
    </xf>
    <xf borderId="1" fillId="0" fontId="16" numFmtId="0" xfId="0" applyAlignment="1" applyBorder="1" applyFont="1">
      <alignment horizontal="center" readingOrder="0" vertical="center"/>
    </xf>
    <xf borderId="1" fillId="0" fontId="16" numFmtId="165" xfId="0" applyAlignment="1" applyBorder="1" applyFont="1" applyNumberFormat="1">
      <alignment horizontal="center" readingOrder="0" shrinkToFit="0" vertical="center" wrapText="1"/>
    </xf>
    <xf borderId="1" fillId="3" fontId="105" numFmtId="0" xfId="0" applyAlignment="1" applyBorder="1" applyFont="1">
      <alignment horizontal="left" readingOrder="0"/>
    </xf>
    <xf borderId="1" fillId="0" fontId="16" numFmtId="0" xfId="0" applyAlignment="1" applyBorder="1" applyFont="1">
      <alignment horizontal="center" vertical="center"/>
    </xf>
    <xf borderId="0" fillId="0" fontId="106" numFmtId="0" xfId="0" applyAlignment="1" applyFont="1">
      <alignment horizontal="center" readingOrder="0" shrinkToFit="0" vertical="center" wrapText="1"/>
    </xf>
    <xf borderId="1" fillId="0" fontId="107" numFmtId="0" xfId="0" applyAlignment="1" applyBorder="1" applyFont="1">
      <alignment horizontal="center" readingOrder="0" vertical="center"/>
    </xf>
    <xf borderId="1" fillId="0" fontId="29" numFmtId="0" xfId="0" applyAlignment="1" applyBorder="1" applyFont="1">
      <alignment horizontal="center" vertical="center"/>
    </xf>
    <xf borderId="1" fillId="6" fontId="7" numFmtId="164" xfId="0" applyAlignment="1" applyBorder="1" applyFont="1" applyNumberFormat="1">
      <alignment horizontal="left" shrinkToFit="0" vertical="center" wrapText="1"/>
    </xf>
    <xf borderId="1" fillId="0" fontId="8" numFmtId="0" xfId="0" applyAlignment="1" applyBorder="1" applyFont="1">
      <alignment horizontal="left" readingOrder="0" shrinkToFit="0" vertical="center" wrapText="1"/>
    </xf>
    <xf borderId="1" fillId="0" fontId="108" numFmtId="0" xfId="0" applyAlignment="1" applyBorder="1" applyFont="1">
      <alignment horizontal="left" readingOrder="0" shrinkToFit="0" vertical="center" wrapText="1"/>
    </xf>
    <xf borderId="1" fillId="0" fontId="8" numFmtId="167" xfId="0" applyAlignment="1" applyBorder="1" applyFont="1" applyNumberFormat="1">
      <alignment horizontal="center" readingOrder="0" shrinkToFit="0" vertical="center" wrapText="1"/>
    </xf>
    <xf borderId="1" fillId="3" fontId="109" numFmtId="0" xfId="0" applyAlignment="1" applyBorder="1" applyFont="1">
      <alignment horizontal="center" readingOrder="0" shrinkToFit="0" vertical="center" wrapText="1"/>
    </xf>
    <xf borderId="1" fillId="0" fontId="8" numFmtId="0" xfId="0" applyAlignment="1" applyBorder="1" applyFont="1">
      <alignment horizontal="left" readingOrder="0" shrinkToFit="0" vertical="center" wrapText="1"/>
    </xf>
    <xf borderId="1" fillId="0" fontId="8" numFmtId="165" xfId="0" applyAlignment="1" applyBorder="1" applyFont="1" applyNumberFormat="1">
      <alignment horizontal="center" readingOrder="0" shrinkToFit="0" vertical="center" wrapText="1"/>
    </xf>
    <xf borderId="1" fillId="0" fontId="110" numFmtId="0" xfId="0" applyAlignment="1" applyBorder="1" applyFont="1">
      <alignment horizontal="center" readingOrder="0" shrinkToFit="0" vertical="center" wrapText="1"/>
    </xf>
    <xf borderId="0" fillId="0" fontId="16" numFmtId="0" xfId="0" applyAlignment="1" applyFont="1">
      <alignment horizontal="center" readingOrder="0" shrinkToFit="0" vertical="center" wrapText="1"/>
    </xf>
    <xf borderId="1" fillId="0" fontId="29" numFmtId="0" xfId="0" applyAlignment="1" applyBorder="1" applyFont="1">
      <alignment horizontal="center" readingOrder="0" vertical="center"/>
    </xf>
    <xf borderId="1" fillId="6" fontId="7" numFmtId="171" xfId="0" applyAlignment="1" applyBorder="1" applyFont="1" applyNumberFormat="1">
      <alignment horizontal="left" readingOrder="0" shrinkToFit="0" vertical="center" wrapText="1"/>
    </xf>
    <xf borderId="1" fillId="0" fontId="111" numFmtId="0" xfId="0" applyAlignment="1" applyBorder="1" applyFont="1">
      <alignment horizontal="center" readingOrder="0" shrinkToFit="0" wrapText="1"/>
    </xf>
    <xf borderId="1" fillId="0" fontId="112" numFmtId="0" xfId="0" applyAlignment="1" applyBorder="1" applyFont="1">
      <alignment horizontal="center" readingOrder="0" shrinkToFit="0" wrapText="1"/>
    </xf>
    <xf borderId="1" fillId="3" fontId="8" numFmtId="0" xfId="0" applyAlignment="1" applyBorder="1" applyFont="1">
      <alignment horizontal="center" readingOrder="0" shrinkToFit="0" wrapText="1"/>
    </xf>
    <xf borderId="1" fillId="5" fontId="21" numFmtId="0" xfId="0" applyAlignment="1" applyBorder="1" applyFont="1">
      <alignment horizontal="center" readingOrder="0" shrinkToFit="0" vertical="center" wrapText="1"/>
    </xf>
    <xf borderId="1" fillId="5" fontId="113" numFmtId="0" xfId="0" applyAlignment="1" applyBorder="1" applyFont="1">
      <alignment horizontal="center" readingOrder="0" vertical="center"/>
    </xf>
    <xf borderId="1" fillId="5" fontId="0" numFmtId="0" xfId="0" applyAlignment="1" applyBorder="1" applyFont="1">
      <alignment horizontal="left" readingOrder="0" shrinkToFit="0" vertical="center" wrapText="1"/>
    </xf>
    <xf borderId="1" fillId="9" fontId="7" numFmtId="0" xfId="0" applyAlignment="1" applyBorder="1" applyFill="1" applyFont="1">
      <alignment horizontal="center" readingOrder="0" vertical="center"/>
    </xf>
    <xf borderId="1" fillId="3" fontId="16" numFmtId="0" xfId="0" applyAlignment="1" applyBorder="1" applyFont="1">
      <alignment horizontal="left" readingOrder="0" vertical="center"/>
    </xf>
    <xf borderId="0" fillId="6" fontId="7" numFmtId="164" xfId="0" applyAlignment="1" applyFont="1" applyNumberFormat="1">
      <alignment horizontal="center" vertical="center"/>
    </xf>
    <xf borderId="0" fillId="0" fontId="8" numFmtId="0" xfId="0" applyAlignment="1" applyFont="1">
      <alignment horizontal="center" readingOrder="0" vertical="center"/>
    </xf>
    <xf borderId="0" fillId="0" fontId="114" numFmtId="0" xfId="0" applyAlignment="1" applyFont="1">
      <alignment horizontal="center" readingOrder="0" vertical="center"/>
    </xf>
    <xf borderId="1" fillId="0" fontId="16" numFmtId="167" xfId="0" applyAlignment="1" applyBorder="1" applyFont="1" applyNumberFormat="1">
      <alignment horizontal="center" readingOrder="0" shrinkToFit="0" vertical="center" wrapText="1"/>
    </xf>
    <xf borderId="1" fillId="0" fontId="16" numFmtId="0" xfId="0" applyAlignment="1" applyBorder="1" applyFont="1">
      <alignment horizontal="center" shrinkToFit="0" vertical="center" wrapText="1"/>
    </xf>
    <xf borderId="1" fillId="0" fontId="8" numFmtId="0" xfId="0" applyAlignment="1" applyBorder="1" applyFont="1">
      <alignment horizontal="center" readingOrder="0" shrinkToFit="0" vertical="center" wrapText="0"/>
    </xf>
    <xf borderId="1" fillId="0" fontId="21" numFmtId="0" xfId="0" applyAlignment="1" applyBorder="1" applyFont="1">
      <alignment horizontal="center" shrinkToFit="0" vertical="center" wrapText="1"/>
    </xf>
    <xf borderId="1" fillId="0" fontId="29" numFmtId="0" xfId="0" applyAlignment="1" applyBorder="1" applyFont="1">
      <alignment horizontal="center" readingOrder="0" vertical="center"/>
    </xf>
    <xf borderId="0" fillId="0" fontId="115" numFmtId="0" xfId="0" applyAlignment="1" applyFont="1">
      <alignment horizontal="center" readingOrder="0" vertical="center"/>
    </xf>
    <xf borderId="0" fillId="0" fontId="29" numFmtId="0" xfId="0" applyAlignment="1" applyFont="1">
      <alignment horizontal="center" readingOrder="0" vertical="center"/>
    </xf>
    <xf borderId="1" fillId="0" fontId="29" numFmtId="167" xfId="0" applyAlignment="1" applyBorder="1" applyFont="1" applyNumberFormat="1">
      <alignment horizontal="center" readingOrder="0" shrinkToFit="0" vertical="center" wrapText="1"/>
    </xf>
    <xf borderId="1" fillId="3" fontId="16" numFmtId="0" xfId="0" applyAlignment="1" applyBorder="1" applyFont="1">
      <alignment horizontal="left" vertical="center"/>
    </xf>
    <xf borderId="1" fillId="0" fontId="115" numFmtId="0" xfId="0" applyAlignment="1" applyBorder="1" applyFont="1">
      <alignment horizontal="center" readingOrder="0" vertical="center"/>
    </xf>
    <xf borderId="1" fillId="3" fontId="16" numFmtId="0" xfId="0" applyAlignment="1" applyBorder="1" applyFont="1">
      <alignment horizontal="center" vertical="center"/>
    </xf>
    <xf borderId="0" fillId="3" fontId="16" numFmtId="0" xfId="0" applyAlignment="1" applyFont="1">
      <alignment horizontal="left" readingOrder="0" shrinkToFit="0" vertical="center" wrapText="1"/>
    </xf>
    <xf borderId="1" fillId="3" fontId="60" numFmtId="0" xfId="0" applyAlignment="1" applyBorder="1" applyFont="1">
      <alignment horizontal="center" readingOrder="0" vertical="center"/>
    </xf>
    <xf borderId="0" fillId="3" fontId="16" numFmtId="0" xfId="0" applyAlignment="1" applyFont="1">
      <alignment horizontal="center" vertical="center"/>
    </xf>
    <xf borderId="3" fillId="0" fontId="29" numFmtId="0" xfId="0" applyAlignment="1" applyBorder="1" applyFont="1">
      <alignment horizontal="center" readingOrder="0" vertical="center"/>
    </xf>
    <xf borderId="1" fillId="0" fontId="116" numFmtId="0" xfId="0" applyAlignment="1" applyBorder="1" applyFont="1">
      <alignment horizontal="center" readingOrder="0" shrinkToFit="0" vertical="center" wrapText="1"/>
    </xf>
    <xf borderId="1" fillId="0" fontId="117" numFmtId="0" xfId="0" applyAlignment="1" applyBorder="1" applyFont="1">
      <alignment horizontal="center" readingOrder="0" shrinkToFit="0" vertical="center" wrapText="1"/>
    </xf>
    <xf borderId="0" fillId="6" fontId="7" numFmtId="0" xfId="0" applyAlignment="1" applyFont="1">
      <alignment horizontal="center" readingOrder="0" shrinkToFit="0" vertical="center" wrapText="0"/>
    </xf>
    <xf borderId="0" fillId="0" fontId="8" numFmtId="0" xfId="0" applyAlignment="1" applyFont="1">
      <alignment horizontal="center" readingOrder="0" shrinkToFit="0" vertical="center" wrapText="0"/>
    </xf>
    <xf borderId="0" fillId="0" fontId="118" numFmtId="0" xfId="0" applyAlignment="1" applyFont="1">
      <alignment horizontal="center" readingOrder="0" shrinkToFit="0" vertical="center" wrapText="0"/>
    </xf>
    <xf borderId="1" fillId="0" fontId="8" numFmtId="167" xfId="0" applyAlignment="1" applyBorder="1" applyFont="1" applyNumberFormat="1">
      <alignment horizontal="center" readingOrder="0" shrinkToFit="0" vertical="center" wrapText="0"/>
    </xf>
    <xf borderId="1" fillId="0" fontId="0" numFmtId="0" xfId="0" applyAlignment="1" applyBorder="1" applyFont="1">
      <alignment horizontal="center" readingOrder="0" shrinkToFit="0" vertical="center" wrapText="0"/>
    </xf>
    <xf borderId="1" fillId="3" fontId="119" numFmtId="0" xfId="0" applyAlignment="1" applyBorder="1" applyFont="1">
      <alignment horizontal="center" readingOrder="0" shrinkToFit="0" vertical="center" wrapText="1"/>
    </xf>
    <xf borderId="1" fillId="3" fontId="8" numFmtId="0" xfId="0" applyAlignment="1" applyBorder="1" applyFont="1">
      <alignment horizontal="center" shrinkToFit="0" vertical="center" wrapText="1"/>
    </xf>
    <xf borderId="1" fillId="6" fontId="16" numFmtId="164" xfId="0" applyAlignment="1" applyBorder="1" applyFont="1" applyNumberFormat="1">
      <alignment vertical="center"/>
    </xf>
    <xf borderId="1" fillId="0" fontId="16" numFmtId="0" xfId="0" applyAlignment="1" applyBorder="1" applyFont="1">
      <alignment vertical="center"/>
    </xf>
    <xf borderId="1" fillId="0" fontId="7" numFmtId="0" xfId="0" applyAlignment="1" applyBorder="1" applyFont="1">
      <alignment horizontal="center" readingOrder="0" shrinkToFit="0" vertical="center" wrapText="1"/>
    </xf>
    <xf borderId="1" fillId="3" fontId="8" numFmtId="0" xfId="0" applyAlignment="1" applyBorder="1" applyFont="1">
      <alignment horizontal="left" vertical="center"/>
    </xf>
    <xf borderId="1" fillId="0" fontId="83" numFmtId="0" xfId="0" applyAlignment="1" applyBorder="1" applyFont="1">
      <alignment horizontal="center" readingOrder="0" shrinkToFit="0" vertical="center" wrapText="1"/>
    </xf>
    <xf borderId="1" fillId="0" fontId="0" numFmtId="0" xfId="0" applyAlignment="1" applyBorder="1" applyFont="1">
      <alignment readingOrder="0" shrinkToFit="0" vertical="center" wrapText="1"/>
    </xf>
    <xf borderId="1" fillId="0" fontId="120" numFmtId="0" xfId="0" applyAlignment="1" applyBorder="1" applyFont="1">
      <alignment horizontal="center" readingOrder="0"/>
    </xf>
    <xf borderId="1" fillId="0" fontId="8" numFmtId="0" xfId="0" applyAlignment="1" applyBorder="1" applyFont="1">
      <alignment horizontal="center" readingOrder="0" shrinkToFit="0" vertical="center" wrapText="1"/>
    </xf>
    <xf borderId="0" fillId="0" fontId="16" numFmtId="0" xfId="0" applyAlignment="1" applyFont="1">
      <alignment horizontal="center" readingOrder="0" vertical="center"/>
    </xf>
    <xf borderId="0" fillId="0" fontId="121" numFmtId="0" xfId="0" applyAlignment="1" applyFont="1">
      <alignment horizontal="center" readingOrder="0" shrinkToFit="0" vertical="center" wrapText="1"/>
    </xf>
    <xf borderId="1" fillId="0" fontId="122" numFmtId="0" xfId="0" applyAlignment="1" applyBorder="1" applyFont="1">
      <alignment horizontal="center" readingOrder="0" vertical="center"/>
    </xf>
    <xf borderId="1" fillId="0" fontId="121" numFmtId="0" xfId="0" applyAlignment="1" applyBorder="1" applyFont="1">
      <alignment horizontal="center" readingOrder="0" shrinkToFit="0" vertical="center" wrapText="1"/>
    </xf>
    <xf borderId="1" fillId="0" fontId="0" numFmtId="0" xfId="0" applyAlignment="1" applyBorder="1" applyFont="1">
      <alignment horizontal="center" readingOrder="0" shrinkToFit="0" wrapText="1"/>
    </xf>
    <xf borderId="0" fillId="2" fontId="59" numFmtId="0" xfId="0" applyAlignment="1" applyFont="1">
      <alignment horizontal="center" readingOrder="0" shrinkToFit="0" vertical="center" wrapText="1"/>
    </xf>
    <xf borderId="1" fillId="0" fontId="21" numFmtId="0" xfId="0" applyAlignment="1" applyBorder="1" applyFont="1">
      <alignment horizontal="center" readingOrder="0"/>
    </xf>
    <xf borderId="1" fillId="0" fontId="7" numFmtId="164" xfId="0" applyAlignment="1" applyBorder="1" applyFont="1" applyNumberFormat="1">
      <alignment horizontal="left" shrinkToFit="0" vertical="center" wrapText="1"/>
    </xf>
    <xf borderId="1" fillId="0" fontId="8" numFmtId="0" xfId="0" applyAlignment="1" applyBorder="1" applyFont="1">
      <alignment horizontal="center" readingOrder="0"/>
    </xf>
    <xf borderId="1" fillId="0" fontId="83" numFmtId="167" xfId="0" applyAlignment="1" applyBorder="1" applyFont="1" applyNumberFormat="1">
      <alignment horizontal="center" readingOrder="0" shrinkToFit="0" vertical="center" wrapText="1"/>
    </xf>
    <xf borderId="1" fillId="5" fontId="7" numFmtId="164" xfId="0" applyAlignment="1" applyBorder="1" applyFont="1" applyNumberFormat="1">
      <alignment horizontal="left" shrinkToFit="0" vertical="center" wrapText="1"/>
    </xf>
    <xf borderId="1" fillId="5" fontId="8" numFmtId="0" xfId="0" applyAlignment="1" applyBorder="1" applyFont="1">
      <alignment horizontal="left" readingOrder="0" shrinkToFit="0" vertical="center" wrapText="1"/>
    </xf>
    <xf borderId="1" fillId="5" fontId="123" numFmtId="0" xfId="0" applyAlignment="1" applyBorder="1" applyFont="1">
      <alignment horizontal="left" readingOrder="0" shrinkToFit="0" vertical="center" wrapText="1"/>
    </xf>
    <xf borderId="1" fillId="5" fontId="8" numFmtId="0" xfId="0" applyAlignment="1" applyBorder="1" applyFont="1">
      <alignment horizontal="center" readingOrder="0"/>
    </xf>
    <xf borderId="1" fillId="5" fontId="0" numFmtId="0" xfId="0" applyAlignment="1" applyBorder="1" applyFont="1">
      <alignment horizontal="center" readingOrder="0" shrinkToFit="0" wrapText="1"/>
    </xf>
    <xf borderId="1" fillId="5" fontId="8" numFmtId="0" xfId="0" applyAlignment="1" applyBorder="1" applyFont="1">
      <alignment horizontal="center" readingOrder="0" vertical="center"/>
    </xf>
    <xf borderId="1" fillId="8" fontId="124" numFmtId="0" xfId="0" applyAlignment="1" applyBorder="1" applyFont="1">
      <alignment horizontal="center" readingOrder="0" shrinkToFit="0" vertical="center" wrapText="1"/>
    </xf>
    <xf borderId="1" fillId="5" fontId="8" numFmtId="0" xfId="0" applyAlignment="1" applyBorder="1" applyFont="1">
      <alignment horizontal="left" readingOrder="0" shrinkToFit="0" vertical="center" wrapText="1"/>
    </xf>
    <xf borderId="1" fillId="0" fontId="8" numFmtId="0" xfId="0" applyAlignment="1" applyBorder="1" applyFont="1">
      <alignment horizontal="center" readingOrder="0" shrinkToFit="0" vertical="center" wrapText="1"/>
    </xf>
    <xf borderId="1" fillId="0" fontId="83" numFmtId="0" xfId="0" applyAlignment="1" applyBorder="1" applyFont="1">
      <alignment horizontal="center" readingOrder="0" vertical="center"/>
    </xf>
    <xf borderId="1" fillId="0" fontId="83" numFmtId="0" xfId="0" applyAlignment="1" applyBorder="1" applyFont="1">
      <alignment horizontal="center" readingOrder="0" shrinkToFit="0" vertical="center" wrapText="1"/>
    </xf>
    <xf borderId="1" fillId="0" fontId="125" numFmtId="0" xfId="0" applyAlignment="1" applyBorder="1" applyFont="1">
      <alignment horizontal="center" readingOrder="0" shrinkToFit="0" vertical="center" wrapText="1"/>
    </xf>
    <xf borderId="1" fillId="2" fontId="3" numFmtId="0" xfId="0" applyAlignment="1" applyBorder="1" applyFont="1">
      <alignment horizontal="center" shrinkToFit="0" vertical="top" wrapText="1"/>
    </xf>
    <xf borderId="1" fillId="2" fontId="3" numFmtId="0" xfId="0" applyAlignment="1" applyBorder="1" applyFont="1">
      <alignment horizontal="left" readingOrder="0" shrinkToFit="0" vertical="top" wrapText="1"/>
    </xf>
    <xf borderId="1" fillId="2" fontId="3" numFmtId="0" xfId="0" applyAlignment="1" applyBorder="1" applyFont="1">
      <alignment horizontal="center" readingOrder="0" shrinkToFit="0" vertical="top" wrapText="1"/>
    </xf>
    <xf borderId="0" fillId="10" fontId="126" numFmtId="0" xfId="0" applyAlignment="1" applyFill="1" applyFont="1">
      <alignment horizontal="left" readingOrder="0" shrinkToFit="0" vertical="top" wrapText="1"/>
    </xf>
    <xf borderId="0" fillId="10" fontId="126" numFmtId="0" xfId="0" applyAlignment="1" applyFont="1">
      <alignment horizontal="left" readingOrder="0" shrinkToFit="0" vertical="top" wrapText="1"/>
    </xf>
    <xf borderId="1" fillId="10" fontId="127" numFmtId="0" xfId="0" applyAlignment="1" applyBorder="1" applyFont="1">
      <alignment horizontal="center" readingOrder="0" shrinkToFit="0" vertical="center" wrapText="1"/>
    </xf>
    <xf borderId="0" fillId="10" fontId="128" numFmtId="0" xfId="0" applyAlignment="1" applyFont="1">
      <alignment horizontal="left" readingOrder="0" shrinkToFit="0" vertical="top" wrapText="1"/>
    </xf>
    <xf borderId="1" fillId="0" fontId="6" numFmtId="0" xfId="0" applyAlignment="1" applyBorder="1" applyFont="1">
      <alignment horizontal="right" readingOrder="0" vertical="top"/>
    </xf>
    <xf borderId="1" fillId="0" fontId="6" numFmtId="0" xfId="0" applyAlignment="1" applyBorder="1" applyFont="1">
      <alignment readingOrder="0" shrinkToFit="0" vertical="top" wrapText="1"/>
    </xf>
    <xf borderId="1" fillId="0" fontId="6" numFmtId="0" xfId="0" applyAlignment="1" applyBorder="1" applyFont="1">
      <alignment readingOrder="0" shrinkToFit="0" vertical="top" wrapText="0"/>
    </xf>
    <xf borderId="1" fillId="0" fontId="6" numFmtId="0" xfId="0" applyAlignment="1" applyBorder="1" applyFont="1">
      <alignment readingOrder="0" shrinkToFit="0" vertical="top" wrapText="1"/>
    </xf>
    <xf borderId="1" fillId="0" fontId="129" numFmtId="0" xfId="0" applyAlignment="1" applyBorder="1" applyFont="1">
      <alignment horizontal="center" readingOrder="0" vertical="center"/>
    </xf>
    <xf borderId="1" fillId="0" fontId="130" numFmtId="0" xfId="0" applyAlignment="1" applyBorder="1" applyFont="1">
      <alignment readingOrder="0" shrinkToFit="0" vertical="top" wrapText="1"/>
    </xf>
    <xf borderId="0" fillId="0" fontId="6" numFmtId="0" xfId="0" applyAlignment="1" applyFont="1">
      <alignment readingOrder="0" shrinkToFit="0" vertical="top" wrapText="1"/>
    </xf>
    <xf borderId="1" fillId="0" fontId="6" numFmtId="172" xfId="0" applyAlignment="1" applyBorder="1" applyFont="1" applyNumberFormat="1">
      <alignment horizontal="right" readingOrder="0" vertical="top"/>
    </xf>
    <xf borderId="6" fillId="0" fontId="6" numFmtId="0" xfId="0" applyAlignment="1" applyBorder="1" applyFont="1">
      <alignment readingOrder="0" shrinkToFit="0" vertical="top" wrapText="1"/>
    </xf>
    <xf borderId="6" fillId="0" fontId="6" numFmtId="0" xfId="0" applyAlignment="1" applyBorder="1" applyFont="1">
      <alignment readingOrder="0" shrinkToFit="0" vertical="top" wrapText="0"/>
    </xf>
    <xf borderId="6" fillId="0" fontId="6" numFmtId="0" xfId="0" applyAlignment="1" applyBorder="1" applyFont="1">
      <alignment readingOrder="0" shrinkToFit="0" vertical="top" wrapText="1"/>
    </xf>
    <xf borderId="1" fillId="0" fontId="131" numFmtId="0" xfId="0" applyAlignment="1" applyBorder="1" applyFont="1">
      <alignment horizontal="center" readingOrder="0" shrinkToFit="0" vertical="bottom" wrapText="1"/>
    </xf>
    <xf borderId="6" fillId="0" fontId="6" numFmtId="0" xfId="0" applyAlignment="1" applyBorder="1" applyFont="1">
      <alignment readingOrder="0" vertical="top"/>
    </xf>
    <xf borderId="6" fillId="0" fontId="129" numFmtId="0" xfId="0" applyAlignment="1" applyBorder="1" applyFont="1">
      <alignment horizontal="center" readingOrder="0" vertical="center"/>
    </xf>
    <xf borderId="0" fillId="0" fontId="6" numFmtId="0" xfId="0" applyAlignment="1" applyFont="1">
      <alignment readingOrder="0" shrinkToFit="0" vertical="top" wrapText="1"/>
    </xf>
    <xf borderId="1" fillId="0" fontId="132" numFmtId="0" xfId="0" applyAlignment="1" applyBorder="1" applyFont="1">
      <alignment horizontal="center" readingOrder="0" shrinkToFit="0" vertical="bottom" wrapText="1"/>
    </xf>
    <xf borderId="6" fillId="0" fontId="133" numFmtId="0" xfId="0" applyAlignment="1" applyBorder="1" applyFont="1">
      <alignment readingOrder="0" shrinkToFit="0" vertical="top" wrapText="1"/>
    </xf>
    <xf borderId="3" fillId="7" fontId="134" numFmtId="0" xfId="0" applyAlignment="1" applyBorder="1" applyFont="1">
      <alignment horizontal="center" readingOrder="0" vertical="bottom"/>
    </xf>
    <xf borderId="6" fillId="0" fontId="0" numFmtId="0" xfId="0" applyAlignment="1" applyBorder="1" applyFont="1">
      <alignment readingOrder="0" shrinkToFit="0" vertical="top" wrapText="1"/>
    </xf>
    <xf borderId="0" fillId="0" fontId="0" numFmtId="0" xfId="0" applyAlignment="1" applyFont="1">
      <alignment readingOrder="0" shrinkToFit="0" vertical="top" wrapText="1"/>
    </xf>
    <xf borderId="1" fillId="10" fontId="135" numFmtId="0" xfId="0" applyAlignment="1" applyBorder="1" applyFont="1">
      <alignment horizontal="left" readingOrder="0" vertical="top"/>
    </xf>
    <xf borderId="1" fillId="10" fontId="135" numFmtId="0" xfId="0" applyAlignment="1" applyBorder="1" applyFont="1">
      <alignment horizontal="left" readingOrder="0" shrinkToFit="0" vertical="top" wrapText="0"/>
    </xf>
    <xf borderId="1" fillId="10" fontId="135" numFmtId="0" xfId="0" applyAlignment="1" applyBorder="1" applyFont="1">
      <alignment horizontal="left" readingOrder="0" shrinkToFit="0" vertical="top" wrapText="1"/>
    </xf>
    <xf borderId="1" fillId="3" fontId="136" numFmtId="173" xfId="0" applyAlignment="1" applyBorder="1" applyFont="1" applyNumberFormat="1">
      <alignment horizontal="left" readingOrder="0" vertical="top"/>
    </xf>
    <xf borderId="1" fillId="0" fontId="6" numFmtId="0" xfId="0" applyAlignment="1" applyBorder="1" applyFont="1">
      <alignment readingOrder="0" vertical="top"/>
    </xf>
    <xf borderId="1" fillId="3" fontId="137" numFmtId="0" xfId="0" applyAlignment="1" applyBorder="1" applyFont="1">
      <alignment horizontal="left" readingOrder="0" shrinkToFit="0" vertical="top" wrapText="1"/>
    </xf>
    <xf borderId="1" fillId="3" fontId="6" numFmtId="0" xfId="0" applyAlignment="1" applyBorder="1" applyFont="1">
      <alignment horizontal="left" readingOrder="0" shrinkToFit="0" vertical="top" wrapText="0"/>
    </xf>
    <xf borderId="1" fillId="3" fontId="136" numFmtId="0" xfId="0" applyAlignment="1" applyBorder="1" applyFont="1">
      <alignment horizontal="left" readingOrder="0" shrinkToFit="0" vertical="top" wrapText="1"/>
    </xf>
    <xf borderId="1" fillId="0" fontId="16" numFmtId="173" xfId="0" applyAlignment="1" applyBorder="1" applyFont="1" applyNumberFormat="1">
      <alignment horizontal="left" readingOrder="0" vertical="top"/>
    </xf>
    <xf borderId="1" fillId="0" fontId="6" numFmtId="0" xfId="0" applyAlignment="1" applyBorder="1" applyFont="1">
      <alignment readingOrder="0" shrinkToFit="0" vertical="top" wrapText="1"/>
    </xf>
    <xf borderId="1" fillId="0" fontId="138" numFmtId="0" xfId="0" applyAlignment="1" applyBorder="1" applyFont="1">
      <alignment shrinkToFit="0" vertical="top" wrapText="1"/>
    </xf>
    <xf borderId="0" fillId="3" fontId="139" numFmtId="0" xfId="0" applyAlignment="1" applyFont="1">
      <alignment horizontal="center" readingOrder="0" vertical="bottom"/>
    </xf>
    <xf borderId="1" fillId="0" fontId="140" numFmtId="0" xfId="0" applyAlignment="1" applyBorder="1" applyFont="1">
      <alignment readingOrder="0" shrinkToFit="0" vertical="top" wrapText="1"/>
    </xf>
    <xf borderId="1" fillId="0" fontId="16" numFmtId="0" xfId="0" applyAlignment="1" applyBorder="1" applyFont="1">
      <alignment shrinkToFit="0" vertical="top" wrapText="1"/>
    </xf>
    <xf borderId="1" fillId="3" fontId="141" numFmtId="0" xfId="0" applyAlignment="1" applyBorder="1" applyFont="1">
      <alignment horizontal="left" readingOrder="0" shrinkToFit="0" vertical="top" wrapText="1"/>
    </xf>
    <xf borderId="1" fillId="3" fontId="136" numFmtId="173" xfId="0" applyAlignment="1" applyBorder="1" applyFont="1" applyNumberFormat="1">
      <alignment horizontal="left" readingOrder="0" shrinkToFit="0" vertical="top" wrapText="1"/>
    </xf>
    <xf borderId="1" fillId="0" fontId="142" numFmtId="0" xfId="0" applyAlignment="1" applyBorder="1" applyFont="1">
      <alignment shrinkToFit="0" vertical="top" wrapText="1"/>
    </xf>
    <xf borderId="1" fillId="3" fontId="143" numFmtId="0" xfId="0" applyAlignment="1" applyBorder="1" applyFont="1">
      <alignment horizontal="left" readingOrder="0" shrinkToFit="0" vertical="top" wrapText="1"/>
    </xf>
    <xf borderId="1" fillId="0" fontId="110" numFmtId="0" xfId="0" applyAlignment="1" applyBorder="1" applyFont="1">
      <alignment shrinkToFit="0" vertical="top" wrapText="1"/>
    </xf>
    <xf borderId="1" fillId="3" fontId="144" numFmtId="0" xfId="0" applyAlignment="1" applyBorder="1" applyFont="1">
      <alignment horizontal="left" readingOrder="0" shrinkToFit="0" vertical="top" wrapText="1"/>
    </xf>
    <xf borderId="1" fillId="0" fontId="110" numFmtId="0" xfId="0" applyAlignment="1" applyBorder="1" applyFont="1">
      <alignment horizontal="left" readingOrder="0" vertical="top"/>
    </xf>
    <xf borderId="1" fillId="3" fontId="0" numFmtId="0" xfId="0" applyAlignment="1" applyBorder="1" applyFont="1">
      <alignment horizontal="left" readingOrder="0" shrinkToFit="0" vertical="top" wrapText="1"/>
    </xf>
    <xf borderId="1" fillId="3" fontId="8" numFmtId="0" xfId="0" applyAlignment="1" applyBorder="1" applyFont="1">
      <alignment horizontal="center" readingOrder="0"/>
    </xf>
    <xf borderId="1" fillId="3" fontId="136" numFmtId="0" xfId="0" applyAlignment="1" applyBorder="1" applyFont="1">
      <alignment horizontal="center" readingOrder="0" shrinkToFit="0" vertical="center" wrapText="1"/>
    </xf>
    <xf borderId="1" fillId="0" fontId="6" numFmtId="0" xfId="0" applyAlignment="1" applyBorder="1" applyFont="1">
      <alignment readingOrder="0" shrinkToFit="0" vertical="top" wrapText="0"/>
    </xf>
    <xf borderId="7" fillId="3" fontId="145" numFmtId="173" xfId="0" applyAlignment="1" applyBorder="1" applyFont="1" applyNumberFormat="1">
      <alignment horizontal="left" shrinkToFit="0" vertical="top" wrapText="1"/>
    </xf>
    <xf borderId="6" fillId="3" fontId="8" numFmtId="0" xfId="0" applyAlignment="1" applyBorder="1" applyFont="1">
      <alignment horizontal="left" shrinkToFit="0" vertical="top" wrapText="1"/>
    </xf>
    <xf borderId="6" fillId="3" fontId="146" numFmtId="0" xfId="0" applyAlignment="1" applyBorder="1" applyFont="1">
      <alignment horizontal="left" shrinkToFit="0" vertical="top" wrapText="1"/>
    </xf>
    <xf borderId="6" fillId="3" fontId="145" numFmtId="0" xfId="0" applyAlignment="1" applyBorder="1" applyFont="1">
      <alignment horizontal="left" shrinkToFit="0" vertical="top" wrapText="1"/>
    </xf>
    <xf borderId="6" fillId="3" fontId="145" numFmtId="0" xfId="0" applyAlignment="1" applyBorder="1" applyFont="1">
      <alignment horizontal="center" shrinkToFit="0" wrapText="1"/>
    </xf>
    <xf borderId="6" fillId="3" fontId="147" numFmtId="0" xfId="0" applyAlignment="1" applyBorder="1" applyFont="1">
      <alignment horizontal="left" shrinkToFit="0" vertical="top" wrapText="1"/>
    </xf>
    <xf borderId="1" fillId="0" fontId="110" numFmtId="0" xfId="0" applyAlignment="1" applyBorder="1" applyFont="1">
      <alignment horizontal="center" shrinkToFit="0" wrapText="1"/>
    </xf>
    <xf borderId="0" fillId="3" fontId="136" numFmtId="173" xfId="0" applyAlignment="1" applyFont="1" applyNumberFormat="1">
      <alignment horizontal="left" readingOrder="0" shrinkToFit="0" vertical="top" wrapText="1"/>
    </xf>
    <xf borderId="0" fillId="3" fontId="0" numFmtId="0" xfId="0" applyAlignment="1" applyFont="1">
      <alignment horizontal="left" readingOrder="0" shrinkToFit="0" vertical="top" wrapText="1"/>
    </xf>
    <xf borderId="0" fillId="3" fontId="6" numFmtId="0" xfId="0" applyAlignment="1" applyFont="1">
      <alignment horizontal="left" readingOrder="0" shrinkToFit="0" vertical="top" wrapText="1"/>
    </xf>
    <xf borderId="0" fillId="3" fontId="136" numFmtId="0" xfId="0" applyAlignment="1" applyFont="1">
      <alignment horizontal="left" readingOrder="0" shrinkToFit="0" vertical="top" wrapText="1"/>
    </xf>
    <xf borderId="1" fillId="10" fontId="135" numFmtId="0" xfId="0" applyAlignment="1" applyBorder="1" applyFont="1">
      <alignment horizontal="left" readingOrder="0" shrinkToFit="0" vertical="top" wrapText="1"/>
    </xf>
    <xf borderId="1" fillId="3" fontId="136" numFmtId="14" xfId="0" applyAlignment="1" applyBorder="1" applyFont="1" applyNumberFormat="1">
      <alignment horizontal="left" readingOrder="0" vertical="top"/>
    </xf>
    <xf borderId="1" fillId="3" fontId="6" numFmtId="0" xfId="0" applyAlignment="1" applyBorder="1" applyFont="1">
      <alignment horizontal="left" readingOrder="0" shrinkToFit="0" vertical="top" wrapText="0"/>
    </xf>
    <xf borderId="1" fillId="3" fontId="148" numFmtId="0" xfId="0" applyAlignment="1" applyBorder="1" applyFont="1">
      <alignment horizontal="left" readingOrder="0" vertical="top"/>
    </xf>
    <xf borderId="1" fillId="0" fontId="6" numFmtId="14" xfId="0" applyAlignment="1" applyBorder="1" applyFont="1" applyNumberFormat="1">
      <alignment horizontal="left" readingOrder="0" vertical="top"/>
    </xf>
    <xf borderId="1" fillId="0" fontId="149" numFmtId="0" xfId="0" applyAlignment="1" applyBorder="1" applyFont="1">
      <alignment horizontal="left" readingOrder="0" shrinkToFit="0" vertical="top" wrapText="1"/>
    </xf>
    <xf borderId="1" fillId="0" fontId="6" numFmtId="0" xfId="0" applyAlignment="1" applyBorder="1" applyFont="1">
      <alignment horizontal="left" readingOrder="0" shrinkToFit="0" vertical="top" wrapText="0"/>
    </xf>
    <xf borderId="1" fillId="0" fontId="0" numFmtId="172" xfId="0" applyAlignment="1" applyBorder="1" applyFont="1" applyNumberFormat="1">
      <alignment horizontal="right" readingOrder="0" shrinkToFit="0" vertical="top" wrapText="1"/>
    </xf>
    <xf borderId="1" fillId="0" fontId="6" numFmtId="0" xfId="0" applyAlignment="1" applyBorder="1" applyFont="1">
      <alignment horizontal="left" readingOrder="0" shrinkToFit="0" vertical="top" wrapText="1"/>
    </xf>
    <xf borderId="1" fillId="0" fontId="6" numFmtId="0" xfId="0" applyAlignment="1" applyBorder="1" applyFont="1">
      <alignment horizontal="left" readingOrder="0" vertical="top"/>
    </xf>
    <xf borderId="1" fillId="3" fontId="136" numFmtId="0" xfId="0" applyAlignment="1" applyBorder="1" applyFont="1">
      <alignment horizontal="left" readingOrder="0" vertical="top"/>
    </xf>
    <xf borderId="1" fillId="0" fontId="0" numFmtId="0" xfId="0" applyAlignment="1" applyBorder="1" applyFont="1">
      <alignment readingOrder="0" shrinkToFit="0" vertical="top" wrapText="1"/>
    </xf>
    <xf borderId="1" fillId="0" fontId="0" numFmtId="0" xfId="0" applyAlignment="1" applyBorder="1" applyFont="1">
      <alignment shrinkToFit="0" vertical="top" wrapText="1"/>
    </xf>
    <xf borderId="1" fillId="0" fontId="0" numFmtId="0" xfId="0" applyAlignment="1" applyBorder="1" applyFont="1">
      <alignment readingOrder="0" shrinkToFit="0" vertical="top" wrapText="0"/>
    </xf>
    <xf borderId="1" fillId="0" fontId="150" numFmtId="0" xfId="0" applyAlignment="1" applyBorder="1" applyFont="1">
      <alignment horizontal="left" readingOrder="0" shrinkToFit="0" vertical="top" wrapText="1"/>
    </xf>
    <xf borderId="1" fillId="3" fontId="6" numFmtId="0" xfId="0" applyAlignment="1" applyBorder="1" applyFont="1">
      <alignment horizontal="center" readingOrder="0" shrinkToFit="0" vertical="center" wrapText="1"/>
    </xf>
    <xf borderId="1" fillId="3" fontId="151" numFmtId="0" xfId="0" applyAlignment="1" applyBorder="1" applyFont="1">
      <alignment horizontal="center" readingOrder="0" shrinkToFit="0" vertical="top" wrapText="1"/>
    </xf>
    <xf borderId="1" fillId="3" fontId="21" numFmtId="0" xfId="0" applyAlignment="1" applyBorder="1" applyFont="1">
      <alignment horizontal="center" readingOrder="0"/>
    </xf>
    <xf borderId="1" fillId="0" fontId="152" numFmtId="0" xfId="0" applyAlignment="1" applyBorder="1" applyFont="1">
      <alignment readingOrder="0" vertical="top"/>
    </xf>
    <xf borderId="6" fillId="0" fontId="6" numFmtId="0" xfId="0" applyAlignment="1" applyBorder="1" applyFont="1">
      <alignment readingOrder="0" shrinkToFit="0" vertical="top" wrapText="1"/>
    </xf>
    <xf borderId="1" fillId="5" fontId="21" numFmtId="167" xfId="0" applyAlignment="1" applyBorder="1" applyFont="1" applyNumberFormat="1">
      <alignment horizontal="center" readingOrder="0" shrinkToFit="0" vertical="center" wrapText="1"/>
    </xf>
    <xf borderId="1" fillId="5" fontId="29" numFmtId="0" xfId="0" applyAlignment="1" applyBorder="1" applyFont="1">
      <alignment horizontal="center" readingOrder="0" vertical="center"/>
    </xf>
    <xf borderId="1" fillId="0" fontId="29" numFmtId="0" xfId="0" applyAlignment="1" applyBorder="1" applyFont="1">
      <alignment horizontal="left" readingOrder="0" shrinkToFit="0" vertical="top" wrapText="1"/>
    </xf>
    <xf borderId="1" fillId="0" fontId="21" numFmtId="167" xfId="0" applyAlignment="1" applyBorder="1" applyFont="1" applyNumberFormat="1">
      <alignment horizontal="center" readingOrder="0" shrinkToFit="0" vertical="center" wrapText="1"/>
    </xf>
    <xf borderId="1" fillId="3" fontId="6" numFmtId="0" xfId="0" applyAlignment="1" applyBorder="1" applyFont="1">
      <alignment horizontal="left" readingOrder="0" shrinkToFit="0" vertical="top" wrapText="1"/>
    </xf>
    <xf borderId="0" fillId="0" fontId="6" numFmtId="172" xfId="0" applyAlignment="1" applyFont="1" applyNumberFormat="1">
      <alignment horizontal="right" readingOrder="0" vertical="top"/>
    </xf>
    <xf borderId="1" fillId="3" fontId="153" numFmtId="0" xfId="0" applyAlignment="1" applyBorder="1" applyFont="1">
      <alignment horizontal="left" readingOrder="0" shrinkToFit="0" vertical="top" wrapText="1"/>
    </xf>
    <xf borderId="1" fillId="0" fontId="110" numFmtId="0" xfId="0" applyAlignment="1" applyBorder="1" applyFont="1">
      <alignment readingOrder="0" shrinkToFit="0" vertical="top" wrapText="1"/>
    </xf>
    <xf borderId="1" fillId="3" fontId="6" numFmtId="0" xfId="0" applyAlignment="1" applyBorder="1" applyFont="1">
      <alignment horizontal="left" readingOrder="0" shrinkToFit="0" vertical="top" wrapText="1"/>
    </xf>
    <xf borderId="1" fillId="6" fontId="16" numFmtId="164" xfId="0" applyAlignment="1" applyBorder="1" applyFont="1" applyNumberFormat="1">
      <alignment vertical="center"/>
    </xf>
    <xf borderId="1" fillId="0" fontId="16" numFmtId="0" xfId="0" applyAlignment="1" applyBorder="1" applyFont="1">
      <alignment vertical="center"/>
    </xf>
    <xf borderId="6" fillId="0" fontId="6" numFmtId="0" xfId="0" applyAlignment="1" applyBorder="1" applyFont="1">
      <alignment shrinkToFit="0" vertical="top" wrapText="1"/>
    </xf>
    <xf borderId="3" fillId="0" fontId="154" numFmtId="0" xfId="0" applyAlignment="1" applyBorder="1" applyFont="1">
      <alignment horizontal="center" readingOrder="0"/>
    </xf>
    <xf borderId="1" fillId="3" fontId="16" numFmtId="0" xfId="0" applyAlignment="1" applyBorder="1" applyFont="1">
      <alignment readingOrder="0" vertical="center"/>
    </xf>
    <xf borderId="1" fillId="3" fontId="16" numFmtId="0" xfId="0" applyAlignment="1" applyBorder="1" applyFont="1">
      <alignment vertical="center"/>
    </xf>
    <xf borderId="6" fillId="3" fontId="155" numFmtId="0" xfId="0" applyAlignment="1" applyBorder="1" applyFont="1">
      <alignment horizontal="left" readingOrder="0" shrinkToFit="0" vertical="top" wrapText="1"/>
    </xf>
    <xf borderId="1" fillId="0" fontId="8" numFmtId="0" xfId="0" applyAlignment="1" applyBorder="1" applyFont="1">
      <alignment horizontal="left" shrinkToFit="0" vertical="center" wrapText="1"/>
    </xf>
    <xf borderId="1" fillId="0" fontId="0" numFmtId="0" xfId="0" applyAlignment="1" applyBorder="1" applyFont="1">
      <alignment readingOrder="0" vertical="top"/>
    </xf>
    <xf borderId="1" fillId="0" fontId="156" numFmtId="0" xfId="0" applyAlignment="1" applyBorder="1" applyFont="1">
      <alignment readingOrder="0" shrinkToFit="0" vertical="top" wrapText="1"/>
    </xf>
    <xf borderId="1" fillId="0" fontId="157" numFmtId="0" xfId="0" applyAlignment="1" applyBorder="1" applyFont="1">
      <alignment horizontal="center" shrinkToFit="0" vertical="top" wrapText="1"/>
    </xf>
    <xf borderId="1" fillId="3" fontId="8" numFmtId="172" xfId="0" applyAlignment="1" applyBorder="1" applyFont="1" applyNumberFormat="1">
      <alignment horizontal="right" readingOrder="0" vertical="top"/>
    </xf>
    <xf borderId="1" fillId="3" fontId="158" numFmtId="0" xfId="0" applyAlignment="1" applyBorder="1" applyFont="1">
      <alignment horizontal="left" readingOrder="0" shrinkToFit="0" vertical="top" wrapText="1"/>
    </xf>
    <xf borderId="1" fillId="0" fontId="159" numFmtId="0" xfId="0" applyAlignment="1" applyBorder="1" applyFont="1">
      <alignment horizontal="center" readingOrder="0" vertical="center"/>
    </xf>
    <xf borderId="1" fillId="0" fontId="160" numFmtId="0" xfId="0" applyAlignment="1" applyBorder="1" applyFont="1">
      <alignment readingOrder="0" shrinkToFit="0" vertical="top" wrapText="1"/>
    </xf>
    <xf borderId="0" fillId="0" fontId="160" numFmtId="0" xfId="0" applyAlignment="1" applyFont="1">
      <alignment readingOrder="0" shrinkToFit="0" vertical="top" wrapText="1"/>
    </xf>
    <xf borderId="1" fillId="3" fontId="161" numFmtId="0" xfId="0" applyAlignment="1" applyBorder="1" applyFont="1">
      <alignment horizontal="left" readingOrder="0" shrinkToFit="0" vertical="top" wrapText="1"/>
    </xf>
    <xf borderId="1" fillId="0" fontId="162" numFmtId="172" xfId="0" applyAlignment="1" applyBorder="1" applyFont="1" applyNumberFormat="1">
      <alignment horizontal="right" readingOrder="0" shrinkToFit="0" vertical="top" wrapText="1"/>
    </xf>
    <xf borderId="1" fillId="0" fontId="162" numFmtId="0" xfId="0" applyAlignment="1" applyBorder="1" applyFont="1">
      <alignment readingOrder="0" shrinkToFit="0" vertical="top" wrapText="1"/>
    </xf>
    <xf borderId="1" fillId="0" fontId="162" numFmtId="0" xfId="0" applyAlignment="1" applyBorder="1" applyFont="1">
      <alignment readingOrder="0" shrinkToFit="0" vertical="top" wrapText="1"/>
    </xf>
    <xf borderId="1" fillId="0" fontId="163" numFmtId="0" xfId="0" applyAlignment="1" applyBorder="1" applyFont="1">
      <alignment readingOrder="0" shrinkToFit="0" vertical="top" wrapText="1"/>
    </xf>
    <xf borderId="0" fillId="0" fontId="162" numFmtId="0" xfId="0" applyAlignment="1" applyFont="1">
      <alignment readingOrder="0" shrinkToFit="0" vertical="top" wrapText="1"/>
    </xf>
    <xf borderId="1" fillId="3" fontId="164" numFmtId="0" xfId="0" applyAlignment="1" applyBorder="1" applyFont="1">
      <alignment horizontal="left" readingOrder="0" shrinkToFit="0" vertical="top" wrapText="1"/>
    </xf>
    <xf borderId="1" fillId="3" fontId="145" numFmtId="173" xfId="0" applyAlignment="1" applyBorder="1" applyFont="1" applyNumberFormat="1">
      <alignment horizontal="left" readingOrder="0" shrinkToFit="0" vertical="top" wrapText="1"/>
    </xf>
    <xf borderId="8" fillId="3" fontId="8" numFmtId="0" xfId="0" applyAlignment="1" applyBorder="1" applyFont="1">
      <alignment horizontal="left" shrinkToFit="0" vertical="top" wrapText="1"/>
    </xf>
    <xf borderId="8" fillId="3" fontId="165" numFmtId="0" xfId="0" applyAlignment="1" applyBorder="1" applyFont="1">
      <alignment horizontal="left" shrinkToFit="0" vertical="top" wrapText="1"/>
    </xf>
    <xf borderId="1" fillId="0" fontId="166" numFmtId="0" xfId="0" applyAlignment="1" applyBorder="1" applyFont="1">
      <alignment readingOrder="0" shrinkToFit="0" vertical="top" wrapText="1"/>
    </xf>
    <xf borderId="8" fillId="3" fontId="145" numFmtId="0" xfId="0" applyAlignment="1" applyBorder="1" applyFont="1">
      <alignment horizontal="left" shrinkToFit="0" vertical="top" wrapText="1"/>
    </xf>
    <xf borderId="8" fillId="3" fontId="145" numFmtId="0" xfId="0" applyAlignment="1" applyBorder="1" applyFont="1">
      <alignment horizontal="left" readingOrder="0" shrinkToFit="0" vertical="top" wrapText="1"/>
    </xf>
    <xf borderId="1" fillId="3" fontId="136" numFmtId="173" xfId="0" applyAlignment="1" applyBorder="1" applyFont="1" applyNumberFormat="1">
      <alignment horizontal="left" readingOrder="0" shrinkToFit="0" vertical="top" wrapText="1"/>
    </xf>
    <xf borderId="1" fillId="3" fontId="167" numFmtId="0" xfId="0" applyAlignment="1" applyBorder="1" applyFont="1">
      <alignment horizontal="left" readingOrder="0" shrinkToFit="0" vertical="top" wrapText="1"/>
    </xf>
    <xf borderId="1" fillId="3" fontId="6" numFmtId="0" xfId="0" applyAlignment="1" applyBorder="1" applyFont="1">
      <alignment horizontal="left" readingOrder="0" shrinkToFit="0" vertical="top" wrapText="1"/>
    </xf>
    <xf borderId="1" fillId="3" fontId="136" numFmtId="0" xfId="0" applyAlignment="1" applyBorder="1" applyFont="1">
      <alignment horizontal="left" readingOrder="0" shrinkToFit="0" vertical="top" wrapText="1"/>
    </xf>
    <xf borderId="1" fillId="3" fontId="6" numFmtId="0" xfId="0" applyAlignment="1" applyBorder="1" applyFont="1">
      <alignment horizontal="left" readingOrder="0" shrinkToFit="0" vertical="top" wrapText="1"/>
    </xf>
    <xf borderId="1" fillId="3" fontId="168" numFmtId="0" xfId="0" applyAlignment="1" applyBorder="1" applyFont="1">
      <alignment horizontal="left" readingOrder="0" shrinkToFit="0" vertical="top" wrapText="1"/>
    </xf>
    <xf borderId="1" fillId="3" fontId="169" numFmtId="0" xfId="0" applyAlignment="1" applyBorder="1" applyFont="1">
      <alignment horizontal="left" readingOrder="0" shrinkToFit="0" vertical="top" wrapText="1"/>
    </xf>
    <xf borderId="1" fillId="3" fontId="136" numFmtId="0" xfId="0" applyAlignment="1" applyBorder="1" applyFont="1">
      <alignment horizontal="center" readingOrder="0" shrinkToFit="0" vertical="center" wrapText="1"/>
    </xf>
    <xf borderId="8" fillId="3" fontId="0" numFmtId="0" xfId="0" applyAlignment="1" applyBorder="1" applyFont="1">
      <alignment horizontal="left" shrinkToFit="0" vertical="top" wrapText="1"/>
    </xf>
    <xf borderId="8" fillId="3" fontId="170" numFmtId="0" xfId="0" applyAlignment="1" applyBorder="1" applyFont="1">
      <alignment horizontal="left" shrinkToFit="0" vertical="top" wrapText="1"/>
    </xf>
    <xf borderId="8" fillId="3" fontId="136" numFmtId="0" xfId="0" applyAlignment="1" applyBorder="1" applyFont="1">
      <alignment horizontal="left" shrinkToFit="0" vertical="top" wrapText="1"/>
    </xf>
    <xf borderId="8" fillId="3" fontId="136" numFmtId="0" xfId="0" applyAlignment="1" applyBorder="1" applyFont="1">
      <alignment horizontal="left" readingOrder="0" shrinkToFit="0" vertical="top" wrapText="1"/>
    </xf>
    <xf borderId="1" fillId="3" fontId="0" numFmtId="0" xfId="0" applyAlignment="1" applyBorder="1" applyFont="1">
      <alignment horizontal="left" readingOrder="0" shrinkToFit="0" vertical="top" wrapText="1"/>
    </xf>
    <xf borderId="1" fillId="0" fontId="171" numFmtId="0" xfId="0" applyAlignment="1" applyBorder="1" applyFont="1">
      <alignment shrinkToFit="0" vertical="top" wrapText="1"/>
    </xf>
    <xf borderId="1" fillId="3" fontId="0" numFmtId="0" xfId="0" applyAlignment="1" applyBorder="1" applyFont="1">
      <alignment horizontal="left" readingOrder="0" shrinkToFit="0" vertical="top" wrapText="1"/>
    </xf>
    <xf borderId="1" fillId="0" fontId="6" numFmtId="172" xfId="0" applyAlignment="1" applyBorder="1" applyFont="1" applyNumberFormat="1">
      <alignment horizontal="right" readingOrder="0" vertical="top"/>
    </xf>
    <xf borderId="1" fillId="0" fontId="6" numFmtId="0" xfId="0" applyAlignment="1" applyBorder="1" applyFont="1">
      <alignment readingOrder="0" vertical="top"/>
    </xf>
    <xf borderId="1" fillId="0" fontId="129" numFmtId="0" xfId="0" applyAlignment="1" applyBorder="1" applyFont="1">
      <alignment horizontal="center" readingOrder="0" vertical="center"/>
    </xf>
    <xf borderId="0" fillId="0" fontId="6" numFmtId="0" xfId="0" applyAlignment="1" applyFont="1">
      <alignment readingOrder="0" shrinkToFit="0" vertical="top" wrapText="1"/>
    </xf>
    <xf borderId="1" fillId="0" fontId="172" numFmtId="174" xfId="0" applyAlignment="1" applyBorder="1" applyFont="1" applyNumberFormat="1">
      <alignment readingOrder="0" shrinkToFit="0" vertical="top" wrapText="1"/>
    </xf>
    <xf borderId="1" fillId="3" fontId="136" numFmtId="0" xfId="0" applyAlignment="1" applyBorder="1" applyFont="1">
      <alignment horizontal="left" readingOrder="0" shrinkToFit="0" vertical="top" wrapText="1"/>
    </xf>
    <xf borderId="8" fillId="3" fontId="8" numFmtId="0" xfId="0" applyAlignment="1" applyBorder="1" applyFont="1">
      <alignment horizontal="left" readingOrder="0" shrinkToFit="0" vertical="top" wrapText="1"/>
    </xf>
    <xf borderId="8" fillId="3" fontId="16" numFmtId="0" xfId="0" applyAlignment="1" applyBorder="1" applyFont="1">
      <alignment horizontal="left" readingOrder="0" shrinkToFit="0" vertical="top" wrapText="1"/>
    </xf>
    <xf borderId="8" fillId="3" fontId="8" numFmtId="0" xfId="0" applyAlignment="1" applyBorder="1" applyFont="1">
      <alignment horizontal="left" readingOrder="0" shrinkToFit="0" vertical="top" wrapText="1"/>
    </xf>
    <xf borderId="8" fillId="3" fontId="16" numFmtId="0" xfId="0" applyAlignment="1" applyBorder="1" applyFont="1">
      <alignment readingOrder="0" shrinkToFit="0" vertical="top" wrapText="1"/>
    </xf>
    <xf borderId="8" fillId="3" fontId="173" numFmtId="0" xfId="0" applyAlignment="1" applyBorder="1" applyFont="1">
      <alignment horizontal="left" shrinkToFit="0" vertical="top" wrapText="1"/>
    </xf>
    <xf borderId="8" fillId="3" fontId="16" numFmtId="0" xfId="0" applyAlignment="1" applyBorder="1" applyFont="1">
      <alignment horizontal="left" shrinkToFit="0" vertical="top" wrapText="1"/>
    </xf>
    <xf borderId="8" fillId="3" fontId="174" numFmtId="0" xfId="0" applyAlignment="1" applyBorder="1" applyFont="1">
      <alignment readingOrder="0" shrinkToFit="0" vertical="top" wrapText="1"/>
    </xf>
    <xf borderId="1" fillId="3" fontId="0" numFmtId="0" xfId="0" applyAlignment="1" applyBorder="1" applyFont="1">
      <alignment horizontal="center" readingOrder="0" shrinkToFit="0" vertical="center" wrapText="1"/>
    </xf>
    <xf borderId="1" fillId="3" fontId="0" numFmtId="0" xfId="0" applyAlignment="1" applyBorder="1" applyFont="1">
      <alignment readingOrder="0" shrinkToFit="0" vertical="top" wrapText="1"/>
    </xf>
    <xf borderId="0" fillId="3" fontId="0" numFmtId="0" xfId="0" applyAlignment="1" applyFont="1">
      <alignment readingOrder="0" shrinkToFit="0" vertical="top" wrapText="1"/>
    </xf>
    <xf borderId="8" fillId="3" fontId="8" numFmtId="0" xfId="0" applyAlignment="1" applyBorder="1" applyFont="1">
      <alignment horizontal="left" readingOrder="0" shrinkToFit="0" vertical="top" wrapText="1"/>
    </xf>
    <xf borderId="1" fillId="0" fontId="162" numFmtId="172" xfId="0" applyAlignment="1" applyBorder="1" applyFont="1" applyNumberFormat="1">
      <alignment horizontal="right" readingOrder="0" vertical="top"/>
    </xf>
    <xf borderId="1" fillId="0" fontId="162" numFmtId="0" xfId="0" applyAlignment="1" applyBorder="1" applyFont="1">
      <alignment readingOrder="0" vertical="top"/>
    </xf>
    <xf borderId="1" fillId="0" fontId="0" numFmtId="172" xfId="0" applyAlignment="1" applyBorder="1" applyFont="1" applyNumberFormat="1">
      <alignment horizontal="right" readingOrder="0" shrinkToFit="0" vertical="top" wrapText="0"/>
    </xf>
    <xf borderId="1" fillId="0" fontId="175" numFmtId="0" xfId="0" applyAlignment="1" applyBorder="1" applyFont="1">
      <alignment readingOrder="0" shrinkToFit="0" vertical="top" wrapText="1"/>
    </xf>
    <xf borderId="1" fillId="0" fontId="176" numFmtId="0" xfId="0" applyAlignment="1" applyBorder="1" applyFont="1">
      <alignment readingOrder="0" shrinkToFit="0" vertical="top" wrapText="1"/>
    </xf>
    <xf borderId="1" fillId="0" fontId="164" numFmtId="0" xfId="0" applyAlignment="1" applyBorder="1" applyFont="1">
      <alignment horizontal="center" readingOrder="0" shrinkToFit="0" vertical="center" wrapText="1"/>
    </xf>
    <xf borderId="1" fillId="0" fontId="164" numFmtId="0" xfId="0" applyAlignment="1" applyBorder="1" applyFont="1">
      <alignment readingOrder="0" shrinkToFit="0" vertical="top" wrapText="1"/>
    </xf>
    <xf borderId="0" fillId="0" fontId="164" numFmtId="0" xfId="0" applyAlignment="1" applyFont="1">
      <alignment readingOrder="0" shrinkToFit="0" vertical="top" wrapText="1"/>
    </xf>
    <xf borderId="1" fillId="0" fontId="29" numFmtId="172" xfId="0" applyAlignment="1" applyBorder="1" applyFont="1" applyNumberFormat="1">
      <alignment readingOrder="0" vertical="top"/>
    </xf>
    <xf borderId="1" fillId="0" fontId="29" numFmtId="0" xfId="0" applyAlignment="1" applyBorder="1" applyFont="1">
      <alignment readingOrder="0" shrinkToFit="0" vertical="top" wrapText="0"/>
    </xf>
    <xf borderId="1" fillId="0" fontId="177" numFmtId="0" xfId="0" applyAlignment="1" applyBorder="1" applyFont="1">
      <alignment readingOrder="0" shrinkToFit="0" vertical="top" wrapText="1"/>
    </xf>
    <xf borderId="1" fillId="0" fontId="178" numFmtId="0" xfId="0" applyAlignment="1" applyBorder="1" applyFont="1">
      <alignment readingOrder="0" shrinkToFit="0" vertical="top" wrapText="1"/>
    </xf>
    <xf borderId="0" fillId="0" fontId="178" numFmtId="0" xfId="0" applyAlignment="1" applyFont="1">
      <alignment readingOrder="0" shrinkToFit="0" vertical="top" wrapText="1"/>
    </xf>
    <xf borderId="1" fillId="3" fontId="60" numFmtId="0" xfId="0" applyAlignment="1" applyBorder="1" applyFont="1">
      <alignment readingOrder="0" shrinkToFit="0" vertical="top" wrapText="1"/>
    </xf>
    <xf borderId="1" fillId="3" fontId="179" numFmtId="0" xfId="0" applyAlignment="1" applyBorder="1" applyFont="1">
      <alignment horizontal="left" readingOrder="0" shrinkToFit="0" vertical="top" wrapText="1"/>
    </xf>
    <xf borderId="0" fillId="3" fontId="6" numFmtId="0" xfId="0" applyAlignment="1" applyFont="1">
      <alignment horizontal="left" readingOrder="0" shrinkToFit="0" vertical="top" wrapText="1"/>
    </xf>
    <xf borderId="1" fillId="0" fontId="29" numFmtId="0" xfId="0" applyAlignment="1" applyBorder="1" applyFont="1">
      <alignment readingOrder="0" vertical="top"/>
    </xf>
    <xf borderId="1" fillId="0" fontId="29" numFmtId="172" xfId="0" applyAlignment="1" applyBorder="1" applyFont="1" applyNumberFormat="1">
      <alignment horizontal="right" readingOrder="0" vertical="top"/>
    </xf>
    <xf borderId="1" fillId="0" fontId="29" numFmtId="0" xfId="0" applyAlignment="1" applyBorder="1" applyFont="1">
      <alignment readingOrder="0" vertical="top"/>
    </xf>
    <xf borderId="1" fillId="0" fontId="180" numFmtId="0" xfId="0" applyAlignment="1" applyBorder="1" applyFont="1">
      <alignment readingOrder="0" shrinkToFit="0" vertical="top" wrapText="0"/>
    </xf>
    <xf borderId="0" fillId="0" fontId="29" numFmtId="0" xfId="0" applyAlignment="1" applyFont="1">
      <alignment readingOrder="0" shrinkToFit="0" vertical="top" wrapText="1"/>
    </xf>
    <xf borderId="1" fillId="0" fontId="29" numFmtId="164" xfId="0" applyAlignment="1" applyBorder="1" applyFont="1" applyNumberFormat="1">
      <alignment horizontal="left" readingOrder="0" shrinkToFit="0" vertical="top" wrapText="1"/>
    </xf>
    <xf borderId="1" fillId="0" fontId="29" numFmtId="0" xfId="0" applyAlignment="1" applyBorder="1" applyFont="1">
      <alignment horizontal="left" readingOrder="0" shrinkToFit="0" vertical="top" wrapText="1"/>
    </xf>
    <xf borderId="1" fillId="0" fontId="29" numFmtId="173" xfId="0" applyAlignment="1" applyBorder="1" applyFont="1" applyNumberFormat="1">
      <alignment horizontal="left" readingOrder="0" shrinkToFit="0" vertical="top" wrapText="1"/>
    </xf>
    <xf borderId="1" fillId="0" fontId="181" numFmtId="0" xfId="0" applyAlignment="1" applyBorder="1" applyFont="1">
      <alignment horizontal="left" readingOrder="0" shrinkToFit="0" vertical="top" wrapText="1"/>
    </xf>
    <xf borderId="0" fillId="0" fontId="182" numFmtId="0" xfId="0" applyAlignment="1" applyFont="1">
      <alignment readingOrder="0"/>
    </xf>
    <xf borderId="1" fillId="0" fontId="29" numFmtId="0" xfId="0" applyAlignment="1" applyBorder="1" applyFont="1">
      <alignment horizontal="center" readingOrder="0" shrinkToFit="0" vertical="top" wrapText="1"/>
    </xf>
    <xf borderId="0" fillId="0" fontId="29" numFmtId="0" xfId="0" applyAlignment="1" applyFont="1">
      <alignment readingOrder="0" shrinkToFit="0" wrapText="1"/>
    </xf>
    <xf borderId="0" fillId="0" fontId="183" numFmtId="0" xfId="0" applyAlignment="1" applyFont="1">
      <alignment readingOrder="0" shrinkToFit="0" wrapText="1"/>
    </xf>
    <xf borderId="1" fillId="10" fontId="126" numFmtId="0" xfId="0" applyAlignment="1" applyBorder="1" applyFont="1">
      <alignment horizontal="left" readingOrder="0" shrinkToFit="0" vertical="top" wrapText="1"/>
    </xf>
    <xf borderId="1" fillId="10" fontId="126" numFmtId="0" xfId="0" applyAlignment="1" applyBorder="1" applyFont="1">
      <alignment horizontal="left" readingOrder="0" shrinkToFit="0" vertical="top" wrapText="0"/>
    </xf>
    <xf borderId="1" fillId="10" fontId="126" numFmtId="0" xfId="0" applyAlignment="1" applyBorder="1" applyFont="1">
      <alignment horizontal="left" readingOrder="0" shrinkToFit="0" vertical="top" wrapText="1"/>
    </xf>
    <xf borderId="1" fillId="10" fontId="128" numFmtId="0" xfId="0" applyAlignment="1" applyBorder="1" applyFont="1">
      <alignment horizontal="center" readingOrder="0" shrinkToFit="0" vertical="center" wrapText="1"/>
    </xf>
    <xf borderId="1" fillId="10" fontId="128" numFmtId="0" xfId="0" applyAlignment="1" applyBorder="1" applyFont="1">
      <alignment horizontal="left" readingOrder="0" shrinkToFit="0" vertical="top" wrapText="1"/>
    </xf>
    <xf borderId="1" fillId="0" fontId="29" numFmtId="172" xfId="0" applyAlignment="1" applyBorder="1" applyFont="1" applyNumberFormat="1">
      <alignment readingOrder="0" shrinkToFit="0" vertical="top" wrapText="1"/>
    </xf>
    <xf borderId="1" fillId="0" fontId="184" numFmtId="0" xfId="0" applyAlignment="1" applyBorder="1" applyFont="1">
      <alignment readingOrder="0" shrinkToFit="0" vertical="top" wrapText="1"/>
    </xf>
    <xf borderId="1" fillId="0" fontId="29" numFmtId="0" xfId="0" applyAlignment="1" applyBorder="1" applyFont="1">
      <alignment readingOrder="0" shrinkToFit="0" vertical="top" wrapText="1"/>
    </xf>
    <xf borderId="1" fillId="0" fontId="29" numFmtId="0" xfId="0" applyAlignment="1" applyBorder="1" applyFont="1">
      <alignment readingOrder="0" shrinkToFit="0" vertical="top" wrapText="1"/>
    </xf>
    <xf borderId="1" fillId="0" fontId="185" numFmtId="0" xfId="0" applyAlignment="1" applyBorder="1" applyFont="1">
      <alignment readingOrder="0" shrinkToFit="0" vertical="top" wrapText="1"/>
    </xf>
    <xf borderId="1" fillId="0" fontId="186" numFmtId="0" xfId="0" applyAlignment="1" applyBorder="1" applyFont="1">
      <alignment readingOrder="0" shrinkToFit="0" vertical="top" wrapText="1"/>
    </xf>
    <xf borderId="1" fillId="0" fontId="29" numFmtId="0" xfId="0" applyAlignment="1" applyBorder="1" applyFont="1">
      <alignment readingOrder="0" shrinkToFit="0" vertical="top" wrapText="1"/>
    </xf>
    <xf borderId="0" fillId="2" fontId="3" numFmtId="0" xfId="0" applyAlignment="1" applyFont="1">
      <alignment horizontal="center" readingOrder="0" shrinkToFit="0" vertical="top" wrapText="1"/>
    </xf>
    <xf borderId="1" fillId="6" fontId="7" numFmtId="164" xfId="0" applyAlignment="1" applyBorder="1" applyFont="1" applyNumberFormat="1">
      <alignment shrinkToFit="0" vertical="top" wrapText="0"/>
    </xf>
    <xf borderId="1" fillId="0" fontId="8" numFmtId="0" xfId="0" applyAlignment="1" applyBorder="1" applyFont="1">
      <alignment horizontal="left" readingOrder="0" shrinkToFit="0" vertical="top" wrapText="0"/>
    </xf>
    <xf borderId="1" fillId="0" fontId="187" numFmtId="0" xfId="0" applyAlignment="1" applyBorder="1" applyFont="1">
      <alignment readingOrder="0" shrinkToFit="0" vertical="top" wrapText="0"/>
    </xf>
    <xf borderId="1" fillId="0" fontId="8" numFmtId="167" xfId="0" applyAlignment="1" applyBorder="1" applyFont="1" applyNumberFormat="1">
      <alignment horizontal="left" readingOrder="0" shrinkToFit="0" vertical="top" wrapText="0"/>
    </xf>
    <xf borderId="1" fillId="0" fontId="8" numFmtId="0" xfId="0" applyAlignment="1" applyBorder="1" applyFont="1">
      <alignment readingOrder="0" shrinkToFit="0" vertical="top" wrapText="1"/>
    </xf>
    <xf borderId="1" fillId="0" fontId="188" numFmtId="0" xfId="0" applyAlignment="1" applyBorder="1" applyFont="1">
      <alignment readingOrder="0" shrinkToFit="0" vertical="top" wrapText="0"/>
    </xf>
    <xf borderId="1" fillId="0" fontId="8" numFmtId="0" xfId="0" applyAlignment="1" applyBorder="1" applyFont="1">
      <alignment readingOrder="0" shrinkToFit="0" vertical="top" wrapText="0"/>
    </xf>
    <xf borderId="1" fillId="0" fontId="8" numFmtId="0" xfId="0" applyAlignment="1" applyBorder="1" applyFont="1">
      <alignment horizontal="center" readingOrder="0" shrinkToFit="0" vertical="top" wrapText="0"/>
    </xf>
    <xf borderId="1" fillId="0" fontId="0" numFmtId="0" xfId="0" applyAlignment="1" applyBorder="1" applyFont="1">
      <alignment readingOrder="0" shrinkToFit="0" vertical="top" wrapText="0"/>
    </xf>
    <xf borderId="1" fillId="0" fontId="8" numFmtId="0" xfId="0" applyAlignment="1" applyBorder="1" applyFont="1">
      <alignment horizontal="left" readingOrder="0" shrinkToFit="0" vertical="top" wrapText="0"/>
    </xf>
    <xf borderId="0" fillId="0" fontId="8" numFmtId="0" xfId="0" applyAlignment="1" applyFont="1">
      <alignment horizontal="left" readingOrder="0" shrinkToFit="0" vertical="top" wrapText="0"/>
    </xf>
    <xf borderId="1" fillId="0" fontId="29" numFmtId="0" xfId="0" applyAlignment="1" applyBorder="1" applyFont="1">
      <alignment readingOrder="0" shrinkToFit="0" vertical="top" wrapText="1"/>
    </xf>
    <xf borderId="1" fillId="0" fontId="29" numFmtId="0" xfId="0" applyAlignment="1" applyBorder="1" applyFont="1">
      <alignment readingOrder="0" shrinkToFit="0" vertical="top" wrapText="1"/>
    </xf>
    <xf borderId="1" fillId="0" fontId="29" numFmtId="164" xfId="0" applyAlignment="1" applyBorder="1" applyFont="1" applyNumberFormat="1">
      <alignment horizontal="left" readingOrder="0" shrinkToFit="0" vertical="top" wrapText="0"/>
    </xf>
    <xf borderId="1" fillId="0" fontId="29" numFmtId="0" xfId="0" applyAlignment="1" applyBorder="1" applyFont="1">
      <alignment horizontal="left" readingOrder="0" shrinkToFit="0" vertical="top" wrapText="0"/>
    </xf>
    <xf borderId="1" fillId="0" fontId="29" numFmtId="167" xfId="0" applyAlignment="1" applyBorder="1" applyFont="1" applyNumberFormat="1">
      <alignment horizontal="left" readingOrder="0" shrinkToFit="0" vertical="top" wrapText="0"/>
    </xf>
    <xf borderId="1" fillId="0" fontId="189" numFmtId="0" xfId="0" applyAlignment="1" applyBorder="1" applyFont="1">
      <alignment horizontal="left" readingOrder="0" shrinkToFit="0" vertical="top" wrapText="0"/>
    </xf>
    <xf borderId="1" fillId="3" fontId="8" numFmtId="0" xfId="0" applyAlignment="1" applyBorder="1" applyFont="1">
      <alignment horizontal="left" readingOrder="0" shrinkToFit="0" vertical="top" wrapText="0"/>
    </xf>
    <xf borderId="1" fillId="0" fontId="29" numFmtId="0" xfId="0" applyAlignment="1" applyBorder="1" applyFont="1">
      <alignment horizontal="left" readingOrder="0" shrinkToFit="0" vertical="top" wrapText="0"/>
    </xf>
    <xf borderId="1" fillId="3" fontId="0" numFmtId="0" xfId="0" applyAlignment="1" applyBorder="1" applyFont="1">
      <alignment horizontal="left" readingOrder="0" shrinkToFit="0" vertical="top" wrapText="0"/>
    </xf>
    <xf borderId="0" fillId="0" fontId="29" numFmtId="0" xfId="0" applyAlignment="1" applyFont="1">
      <alignment horizontal="left" readingOrder="0" shrinkToFit="0" vertical="top" wrapText="0"/>
    </xf>
    <xf borderId="1" fillId="0" fontId="8" numFmtId="167" xfId="0" applyAlignment="1" applyBorder="1" applyFont="1" applyNumberFormat="1">
      <alignment horizontal="left" readingOrder="0" shrinkToFit="0" vertical="top" wrapText="0"/>
    </xf>
    <xf borderId="1" fillId="0" fontId="190" numFmtId="0" xfId="0" applyAlignment="1" applyBorder="1" applyFont="1">
      <alignment horizontal="left" readingOrder="0" shrinkToFit="0" vertical="top" wrapText="0"/>
    </xf>
    <xf borderId="1" fillId="0" fontId="29" numFmtId="169" xfId="0" applyAlignment="1" applyBorder="1" applyFont="1" applyNumberFormat="1">
      <alignment horizontal="left" readingOrder="0" shrinkToFit="0" vertical="top" wrapText="0"/>
    </xf>
    <xf borderId="1" fillId="0" fontId="191" numFmtId="0" xfId="0" applyAlignment="1" applyBorder="1" applyFont="1">
      <alignment readingOrder="0" shrinkToFit="0" vertical="top" wrapText="0"/>
    </xf>
    <xf borderId="1" fillId="0" fontId="192" numFmtId="0" xfId="0" applyAlignment="1" applyBorder="1" applyFont="1">
      <alignment readingOrder="0" shrinkToFit="0" vertical="top" wrapText="0"/>
    </xf>
    <xf borderId="1" fillId="0" fontId="29" numFmtId="0" xfId="0" applyAlignment="1" applyBorder="1" applyFont="1">
      <alignment readingOrder="0" shrinkToFit="0" vertical="top" wrapText="0"/>
    </xf>
    <xf borderId="1" fillId="0" fontId="29" numFmtId="0" xfId="0" applyAlignment="1" applyBorder="1" applyFont="1">
      <alignment horizontal="center" readingOrder="0" shrinkToFit="0" vertical="top" wrapText="0"/>
    </xf>
    <xf borderId="1" fillId="0" fontId="8" numFmtId="0" xfId="0" applyAlignment="1" applyBorder="1" applyFont="1">
      <alignment readingOrder="0" shrinkToFit="0" vertical="top" wrapText="1"/>
    </xf>
    <xf borderId="1" fillId="0" fontId="193" numFmtId="0" xfId="0" applyAlignment="1" applyBorder="1" applyFont="1">
      <alignment horizontal="left" readingOrder="0" shrinkToFit="0" vertical="top" wrapText="0"/>
    </xf>
    <xf borderId="1" fillId="0" fontId="194" numFmtId="0" xfId="0" applyAlignment="1" applyBorder="1" applyFont="1">
      <alignment readingOrder="0" shrinkToFit="0" vertical="top" wrapText="0"/>
    </xf>
    <xf borderId="1" fillId="6" fontId="195" numFmtId="164" xfId="0" applyAlignment="1" applyBorder="1" applyFont="1" applyNumberFormat="1">
      <alignment shrinkToFit="0" vertical="top" wrapText="0"/>
    </xf>
    <xf borderId="1" fillId="0" fontId="83" numFmtId="0" xfId="0" applyAlignment="1" applyBorder="1" applyFont="1">
      <alignment horizontal="left" readingOrder="0" shrinkToFit="0" vertical="top" wrapText="0"/>
    </xf>
    <xf borderId="1" fillId="0" fontId="83" numFmtId="0" xfId="0" applyAlignment="1" applyBorder="1" applyFont="1">
      <alignment readingOrder="0" shrinkToFit="0" vertical="top" wrapText="0"/>
    </xf>
    <xf borderId="1" fillId="0" fontId="29" numFmtId="166" xfId="0" applyAlignment="1" applyBorder="1" applyFont="1" applyNumberFormat="1">
      <alignment readingOrder="0" vertical="top"/>
    </xf>
    <xf borderId="1" fillId="0" fontId="29" numFmtId="0" xfId="0" applyAlignment="1" applyBorder="1" applyFont="1">
      <alignment vertical="top"/>
    </xf>
    <xf borderId="1" fillId="0" fontId="8" numFmtId="0" xfId="0" applyAlignment="1" applyBorder="1" applyFont="1">
      <alignment shrinkToFit="0" vertical="top" wrapText="0"/>
    </xf>
    <xf borderId="1" fillId="6" fontId="7" numFmtId="164" xfId="0" applyAlignment="1" applyBorder="1" applyFont="1" applyNumberFormat="1">
      <alignment horizontal="left" shrinkToFit="0" vertical="top" wrapText="0"/>
    </xf>
    <xf borderId="1" fillId="0" fontId="196" numFmtId="0" xfId="0" applyAlignment="1" applyBorder="1" applyFont="1">
      <alignment readingOrder="0" vertical="top"/>
    </xf>
    <xf borderId="1" fillId="0" fontId="197" numFmtId="0" xfId="0" applyAlignment="1" applyBorder="1" applyFont="1">
      <alignment horizontal="left" readingOrder="0" shrinkToFit="0" vertical="top" wrapText="0"/>
    </xf>
    <xf borderId="1" fillId="9" fontId="8" numFmtId="0" xfId="0" applyAlignment="1" applyBorder="1" applyFont="1">
      <alignment horizontal="center" readingOrder="0" vertical="center"/>
    </xf>
    <xf borderId="1" fillId="3" fontId="198" numFmtId="0" xfId="0" applyAlignment="1" applyBorder="1" applyFont="1">
      <alignment horizontal="left" readingOrder="0" shrinkToFit="0" wrapText="0"/>
    </xf>
    <xf borderId="1" fillId="0" fontId="0" numFmtId="0" xfId="0" applyAlignment="1" applyBorder="1" applyFont="1">
      <alignment readingOrder="0" shrinkToFit="0" vertical="top" wrapText="0"/>
    </xf>
    <xf borderId="1" fillId="0" fontId="0" numFmtId="0" xfId="0" applyAlignment="1" applyBorder="1" applyFont="1">
      <alignment shrinkToFit="0" vertical="top" wrapText="0"/>
    </xf>
    <xf borderId="1" fillId="3" fontId="199" numFmtId="0" xfId="0" applyAlignment="1" applyBorder="1" applyFont="1">
      <alignment readingOrder="0" shrinkToFit="0" vertical="top" wrapText="0"/>
    </xf>
    <xf borderId="1" fillId="3" fontId="200" numFmtId="0" xfId="0" applyAlignment="1" applyBorder="1" applyFont="1">
      <alignment horizontal="left" readingOrder="0" shrinkToFit="0" vertical="top" wrapText="0"/>
    </xf>
    <xf borderId="1" fillId="0" fontId="8" numFmtId="175" xfId="0" applyAlignment="1" applyBorder="1" applyFont="1" applyNumberFormat="1">
      <alignment horizontal="left" readingOrder="0" shrinkToFit="0" vertical="top" wrapText="0"/>
    </xf>
    <xf borderId="1" fillId="0" fontId="164" numFmtId="0" xfId="0" applyAlignment="1" applyBorder="1" applyFont="1">
      <alignment readingOrder="0" shrinkToFit="0" vertical="top" wrapText="0"/>
    </xf>
    <xf borderId="1" fillId="0" fontId="83" numFmtId="167" xfId="0" applyAlignment="1" applyBorder="1" applyFont="1" applyNumberFormat="1">
      <alignment horizontal="left" readingOrder="0" shrinkToFit="0" vertical="top" wrapText="0"/>
    </xf>
    <xf borderId="1" fillId="0" fontId="83" numFmtId="0" xfId="0" applyAlignment="1" applyBorder="1" applyFont="1">
      <alignment readingOrder="0" shrinkToFit="0" vertical="top" wrapText="1"/>
    </xf>
    <xf borderId="1" fillId="0" fontId="26" numFmtId="0" xfId="0" applyAlignment="1" applyBorder="1" applyFont="1">
      <alignment horizontal="left" readingOrder="0" shrinkToFit="0" vertical="top" wrapText="0"/>
    </xf>
    <xf borderId="1" fillId="3" fontId="201" numFmtId="0" xfId="0" applyAlignment="1" applyBorder="1" applyFont="1">
      <alignment readingOrder="0" shrinkToFit="0" wrapText="0"/>
    </xf>
    <xf borderId="1" fillId="0" fontId="83" numFmtId="0" xfId="0" applyAlignment="1" applyBorder="1" applyFont="1">
      <alignment horizontal="center" readingOrder="0" shrinkToFit="0" vertical="top" wrapText="0"/>
    </xf>
    <xf borderId="1" fillId="0" fontId="125" numFmtId="0" xfId="0" applyAlignment="1" applyBorder="1" applyFont="1">
      <alignment readingOrder="0" shrinkToFit="0" vertical="top" wrapText="0"/>
    </xf>
    <xf borderId="1" fillId="0" fontId="83" numFmtId="0" xfId="0" applyAlignment="1" applyBorder="1" applyFont="1">
      <alignment readingOrder="0" shrinkToFit="0" vertical="top" wrapText="1"/>
    </xf>
    <xf borderId="1" fillId="0" fontId="26" numFmtId="0" xfId="0" applyAlignment="1" applyBorder="1" applyFont="1">
      <alignment horizontal="left" readingOrder="0" shrinkToFit="0" vertical="top" wrapText="0"/>
    </xf>
    <xf borderId="1" fillId="0" fontId="202" numFmtId="0" xfId="0" applyAlignment="1" applyBorder="1" applyFont="1">
      <alignment readingOrder="0" shrinkToFit="0" vertical="top" wrapText="0"/>
    </xf>
    <xf borderId="1" fillId="0" fontId="83" numFmtId="0" xfId="0" applyAlignment="1" applyBorder="1" applyFont="1">
      <alignment horizontal="left" readingOrder="0" shrinkToFit="0" vertical="top" wrapText="0"/>
    </xf>
    <xf borderId="0" fillId="0" fontId="83" numFmtId="0" xfId="0" applyAlignment="1" applyFont="1">
      <alignment horizontal="left" readingOrder="0" shrinkToFit="0" vertical="top" wrapText="0"/>
    </xf>
    <xf borderId="1" fillId="0" fontId="63" numFmtId="169" xfId="0" applyAlignment="1" applyBorder="1" applyFont="1" applyNumberFormat="1">
      <alignment horizontal="left" readingOrder="0" shrinkToFit="0" vertical="top" wrapText="0"/>
    </xf>
    <xf borderId="1" fillId="0" fontId="63" numFmtId="0" xfId="0" applyAlignment="1" applyBorder="1" applyFont="1">
      <alignment readingOrder="0" shrinkToFit="0" vertical="top" wrapText="1"/>
    </xf>
    <xf borderId="1" fillId="0" fontId="63" numFmtId="0" xfId="0" applyAlignment="1" applyBorder="1" applyFont="1">
      <alignment horizontal="left" readingOrder="0" shrinkToFit="0" vertical="top" wrapText="0"/>
    </xf>
    <xf borderId="1" fillId="0" fontId="63" numFmtId="0" xfId="0" applyAlignment="1" applyBorder="1" applyFont="1">
      <alignment readingOrder="0" shrinkToFit="0" vertical="top" wrapText="0"/>
    </xf>
    <xf borderId="1" fillId="0" fontId="63" numFmtId="0" xfId="0" applyAlignment="1" applyBorder="1" applyFont="1">
      <alignment horizontal="center" readingOrder="0" shrinkToFit="0" vertical="top" wrapText="0"/>
    </xf>
    <xf borderId="1" fillId="0" fontId="203" numFmtId="0" xfId="0" applyAlignment="1" applyBorder="1" applyFont="1">
      <alignment readingOrder="0" shrinkToFit="0" vertical="top" wrapText="0"/>
    </xf>
    <xf borderId="1" fillId="3" fontId="8" numFmtId="0" xfId="0" applyAlignment="1" applyBorder="1" applyFont="1">
      <alignment horizontal="left" readingOrder="0" shrinkToFit="0" vertical="top" wrapText="1"/>
    </xf>
    <xf borderId="0" fillId="3" fontId="204" numFmtId="0" xfId="0" applyAlignment="1" applyFont="1">
      <alignment horizontal="center" readingOrder="0" vertical="center"/>
    </xf>
    <xf borderId="1" fillId="0" fontId="83" numFmtId="0" xfId="0" applyAlignment="1" applyBorder="1" applyFont="1">
      <alignment readingOrder="0" shrinkToFit="0" vertical="top" wrapText="1"/>
    </xf>
    <xf borderId="1" fillId="0" fontId="26" numFmtId="0" xfId="0" applyAlignment="1" applyBorder="1" applyFont="1">
      <alignment readingOrder="0" shrinkToFit="0" vertical="top" wrapText="0"/>
    </xf>
    <xf borderId="1" fillId="0" fontId="16" numFmtId="0" xfId="0" applyAlignment="1" applyBorder="1" applyFont="1">
      <alignment readingOrder="0" shrinkToFit="0" vertical="top" wrapText="0"/>
    </xf>
    <xf borderId="1" fillId="0" fontId="122" numFmtId="0" xfId="0" applyAlignment="1" applyBorder="1" applyFont="1">
      <alignment horizontal="left" readingOrder="0" shrinkToFit="0" vertical="top" wrapText="0"/>
    </xf>
    <xf borderId="1" fillId="0" fontId="29" numFmtId="0" xfId="0" applyAlignment="1" applyBorder="1" applyFont="1">
      <alignment horizontal="left" readingOrder="0" shrinkToFit="0" vertical="top" wrapText="1"/>
    </xf>
    <xf borderId="1" fillId="0" fontId="117" numFmtId="0" xfId="0" applyAlignment="1" applyBorder="1" applyFont="1">
      <alignment horizontal="left" readingOrder="0" shrinkToFit="0" vertical="top" wrapText="0"/>
    </xf>
    <xf borderId="1" fillId="10" fontId="3" numFmtId="0" xfId="0" applyAlignment="1" applyBorder="1" applyFont="1">
      <alignment horizontal="center" shrinkToFit="0" vertical="top" wrapText="1"/>
    </xf>
    <xf borderId="1" fillId="10" fontId="3" numFmtId="0" xfId="0" applyAlignment="1" applyBorder="1" applyFont="1">
      <alignment horizontal="left" readingOrder="0" shrinkToFit="0" vertical="top" wrapText="1"/>
    </xf>
    <xf borderId="1" fillId="10" fontId="3" numFmtId="0" xfId="0" applyAlignment="1" applyBorder="1" applyFont="1">
      <alignment horizontal="center" readingOrder="0" shrinkToFit="0" vertical="top" wrapText="1"/>
    </xf>
    <xf borderId="1" fillId="10" fontId="3" numFmtId="0" xfId="0" applyAlignment="1" applyBorder="1" applyFont="1">
      <alignment horizontal="center" shrinkToFit="0" vertical="top" wrapText="1"/>
    </xf>
    <xf borderId="1" fillId="0" fontId="29" numFmtId="164" xfId="0" applyAlignment="1" applyBorder="1" applyFont="1" applyNumberFormat="1">
      <alignment readingOrder="0" shrinkToFit="0" vertical="top" wrapText="1"/>
    </xf>
    <xf borderId="1" fillId="0" fontId="16" numFmtId="14" xfId="0" applyAlignment="1" applyBorder="1" applyFont="1" applyNumberFormat="1">
      <alignment horizontal="left" shrinkToFit="0" vertical="top" wrapText="1"/>
    </xf>
    <xf borderId="1" fillId="0" fontId="8" numFmtId="0" xfId="0" applyAlignment="1" applyBorder="1" applyFont="1">
      <alignment readingOrder="0" shrinkToFit="0" vertical="top" wrapText="1"/>
    </xf>
    <xf borderId="1" fillId="0" fontId="16" numFmtId="0" xfId="0" applyAlignment="1" applyBorder="1" applyFont="1">
      <alignment horizontal="left" shrinkToFit="0" vertical="top" wrapText="1"/>
    </xf>
    <xf borderId="1" fillId="0" fontId="16" numFmtId="0" xfId="0" applyAlignment="1" applyBorder="1" applyFont="1">
      <alignment vertical="top"/>
    </xf>
    <xf borderId="1" fillId="0" fontId="16" numFmtId="164" xfId="0" applyAlignment="1" applyBorder="1" applyFont="1" applyNumberFormat="1">
      <alignment shrinkToFit="0" vertical="top" wrapText="0"/>
    </xf>
    <xf borderId="1" fillId="0" fontId="16" numFmtId="0" xfId="0" applyAlignment="1" applyBorder="1" applyFont="1">
      <alignment shrinkToFit="0" vertical="top" wrapText="0"/>
    </xf>
    <xf borderId="1" fillId="0" fontId="16" numFmtId="167" xfId="0" applyAlignment="1" applyBorder="1" applyFont="1" applyNumberFormat="1">
      <alignment horizontal="left" readingOrder="0" shrinkToFit="0" vertical="top" wrapText="0"/>
    </xf>
    <xf borderId="1" fillId="0" fontId="205" numFmtId="0" xfId="0" applyAlignment="1" applyBorder="1" applyFont="1">
      <alignment shrinkToFit="0" vertical="top" wrapText="1"/>
    </xf>
    <xf borderId="1" fillId="0" fontId="16" numFmtId="0" xfId="0" applyAlignment="1" applyBorder="1" applyFont="1">
      <alignment readingOrder="0" shrinkToFit="0" vertical="top" wrapText="1"/>
    </xf>
    <xf borderId="1" fillId="0" fontId="206" numFmtId="0" xfId="0" applyAlignment="1" applyBorder="1" applyFont="1">
      <alignment shrinkToFit="0" vertical="top" wrapText="0"/>
    </xf>
    <xf borderId="1" fillId="3" fontId="8" numFmtId="0" xfId="0" applyAlignment="1" applyBorder="1" applyFont="1">
      <alignment shrinkToFit="0" vertical="top" wrapText="0"/>
    </xf>
    <xf borderId="1" fillId="0" fontId="29" numFmtId="14" xfId="0" applyAlignment="1" applyBorder="1" applyFont="1" applyNumberFormat="1">
      <alignment horizontal="left" readingOrder="0" shrinkToFit="0" vertical="top" wrapText="1"/>
    </xf>
    <xf borderId="1" fillId="0" fontId="16" numFmtId="0" xfId="0" applyAlignment="1" applyBorder="1" applyFont="1">
      <alignment readingOrder="0" shrinkToFit="0" vertical="top" wrapText="0"/>
    </xf>
    <xf borderId="1" fillId="0" fontId="207" numFmtId="0" xfId="0" applyAlignment="1" applyBorder="1" applyFont="1">
      <alignment shrinkToFit="0" vertical="top" wrapText="0"/>
    </xf>
    <xf borderId="1" fillId="0" fontId="21" numFmtId="0" xfId="0" applyAlignment="1" applyBorder="1" applyFont="1">
      <alignment shrinkToFit="0" vertical="top" wrapText="0"/>
    </xf>
    <xf borderId="0" fillId="0" fontId="16" numFmtId="0" xfId="0" applyAlignment="1" applyFont="1">
      <alignment shrinkToFit="0" vertical="top" wrapText="0"/>
    </xf>
    <xf borderId="0" fillId="0" fontId="29" numFmtId="164" xfId="0" applyAlignment="1" applyFont="1" applyNumberFormat="1">
      <alignment horizontal="left" readingOrder="0" shrinkToFit="0" vertical="top" wrapText="0"/>
    </xf>
    <xf borderId="1" fillId="0" fontId="208" numFmtId="0" xfId="0" applyAlignment="1" applyBorder="1" applyFont="1">
      <alignment readingOrder="0" shrinkToFit="0" vertical="top" wrapText="0"/>
    </xf>
    <xf borderId="1" fillId="3" fontId="8" numFmtId="172" xfId="0" applyAlignment="1" applyBorder="1" applyFont="1" applyNumberFormat="1">
      <alignment horizontal="center" readingOrder="0" vertical="top"/>
    </xf>
    <xf borderId="0" fillId="0" fontId="16" numFmtId="164" xfId="0" applyAlignment="1" applyFont="1" applyNumberFormat="1">
      <alignment shrinkToFit="0" vertical="top" wrapText="0"/>
    </xf>
    <xf borderId="1" fillId="0" fontId="29" numFmtId="0" xfId="0" applyAlignment="1" applyBorder="1" applyFont="1">
      <alignment horizontal="left" shrinkToFit="0" vertical="top" wrapText="1"/>
    </xf>
    <xf borderId="1" fillId="0" fontId="29" numFmtId="168" xfId="0" applyAlignment="1" applyBorder="1" applyFont="1" applyNumberFormat="1">
      <alignment horizontal="left" readingOrder="0" shrinkToFit="0" vertical="top" wrapText="1"/>
    </xf>
    <xf borderId="1" fillId="0" fontId="16" numFmtId="0" xfId="0" applyAlignment="1" applyBorder="1" applyFont="1">
      <alignment readingOrder="0" shrinkToFit="0" vertical="top" wrapText="1"/>
    </xf>
    <xf borderId="0" fillId="6" fontId="7" numFmtId="164" xfId="0" applyAlignment="1" applyFont="1" applyNumberFormat="1">
      <alignment shrinkToFit="0" vertical="top" wrapText="0"/>
    </xf>
    <xf borderId="0" fillId="0" fontId="8" numFmtId="0" xfId="0" applyAlignment="1" applyFont="1">
      <alignment horizontal="left" readingOrder="0" shrinkToFit="0" vertical="top" wrapText="0"/>
    </xf>
    <xf borderId="0" fillId="0" fontId="209" numFmtId="0" xfId="0" applyAlignment="1" applyFont="1">
      <alignment readingOrder="0" shrinkToFit="0" vertical="top" wrapText="0"/>
    </xf>
    <xf borderId="0" fillId="3" fontId="210" numFmtId="0" xfId="0" applyAlignment="1" applyFont="1">
      <alignment readingOrder="0" vertical="top"/>
    </xf>
    <xf borderId="1" fillId="0" fontId="29" numFmtId="169" xfId="0" applyAlignment="1" applyBorder="1" applyFont="1" applyNumberFormat="1">
      <alignment horizontal="left" readingOrder="0" shrinkToFit="0" vertical="top" wrapText="1"/>
    </xf>
    <xf borderId="1" fillId="0" fontId="8" numFmtId="0" xfId="0" applyAlignment="1" applyBorder="1" applyFont="1">
      <alignment readingOrder="0" shrinkToFit="0" vertical="top" wrapText="0"/>
    </xf>
    <xf borderId="1" fillId="0" fontId="211" numFmtId="0" xfId="0" applyAlignment="1" applyBorder="1" applyFont="1">
      <alignment horizontal="left" readingOrder="0" shrinkToFit="0" vertical="top" wrapText="1"/>
    </xf>
    <xf borderId="1" fillId="0" fontId="29" numFmtId="0" xfId="0" applyAlignment="1" applyBorder="1" applyFont="1">
      <alignment readingOrder="0" shrinkToFit="0" vertical="top" wrapText="1"/>
    </xf>
    <xf borderId="1" fillId="0" fontId="29" numFmtId="169" xfId="0" applyAlignment="1" applyBorder="1" applyFont="1" applyNumberFormat="1">
      <alignment readingOrder="0" shrinkToFit="0" vertical="top" wrapText="1"/>
    </xf>
    <xf borderId="1" fillId="0" fontId="29" numFmtId="169" xfId="0" applyAlignment="1" applyBorder="1" applyFont="1" applyNumberFormat="1">
      <alignment horizontal="left" readingOrder="0" shrinkToFit="0" vertical="top" wrapText="1"/>
    </xf>
    <xf borderId="1" fillId="3" fontId="8" numFmtId="0" xfId="0" applyAlignment="1" applyBorder="1" applyFont="1">
      <alignment readingOrder="0" vertical="top"/>
    </xf>
    <xf borderId="1" fillId="0" fontId="29" numFmtId="169" xfId="0" applyAlignment="1" applyBorder="1" applyFont="1" applyNumberFormat="1">
      <alignment readingOrder="0" shrinkToFit="0" vertical="top" wrapText="1"/>
    </xf>
    <xf borderId="1" fillId="0" fontId="212" numFmtId="169" xfId="0" applyAlignment="1" applyBorder="1" applyFont="1" applyNumberFormat="1">
      <alignment readingOrder="0" shrinkToFit="0" vertical="top" wrapText="1"/>
    </xf>
    <xf borderId="0" fillId="0" fontId="8" numFmtId="0" xfId="0" applyAlignment="1" applyFont="1">
      <alignment horizontal="center" readingOrder="0" shrinkToFit="0" vertical="top" wrapText="0"/>
    </xf>
    <xf borderId="1" fillId="0" fontId="29" numFmtId="164" xfId="0" applyAlignment="1" applyBorder="1" applyFont="1" applyNumberFormat="1">
      <alignment readingOrder="0" vertical="top"/>
    </xf>
    <xf borderId="1" fillId="3" fontId="8" numFmtId="0" xfId="0" applyAlignment="1" applyBorder="1" applyFont="1">
      <alignment readingOrder="0" shrinkToFit="0" vertical="top" wrapText="1"/>
    </xf>
    <xf borderId="0" fillId="6" fontId="7" numFmtId="0" xfId="0" applyAlignment="1" applyFont="1">
      <alignment readingOrder="0" shrinkToFit="0" vertical="top" wrapText="0"/>
    </xf>
    <xf borderId="1" fillId="3" fontId="8" numFmtId="0" xfId="0" applyAlignment="1" applyBorder="1" applyFont="1">
      <alignment horizontal="left" readingOrder="0" shrinkToFit="0" wrapText="0"/>
    </xf>
    <xf borderId="1" fillId="0" fontId="29" numFmtId="169" xfId="0" applyAlignment="1" applyBorder="1" applyFont="1" applyNumberFormat="1">
      <alignment horizontal="center" readingOrder="0" shrinkToFit="0" vertical="top" wrapText="1"/>
    </xf>
    <xf borderId="1" fillId="0" fontId="29" numFmtId="164" xfId="0" applyAlignment="1" applyBorder="1" applyFont="1" applyNumberFormat="1">
      <alignment horizontal="left" readingOrder="0" shrinkToFit="0" vertical="top" wrapText="1"/>
    </xf>
    <xf borderId="0" fillId="0" fontId="213" numFmtId="0" xfId="0" applyAlignment="1" applyFont="1">
      <alignment readingOrder="0" shrinkToFit="0" vertical="top" wrapText="0"/>
    </xf>
    <xf borderId="1" fillId="0" fontId="122" numFmtId="0" xfId="0" applyAlignment="1" applyBorder="1" applyFont="1">
      <alignment readingOrder="0" shrinkToFit="0" vertical="top" wrapText="1"/>
    </xf>
    <xf borderId="1" fillId="6" fontId="7" numFmtId="0" xfId="0" applyAlignment="1" applyBorder="1" applyFont="1">
      <alignment readingOrder="0" shrinkToFit="0" vertical="top" wrapText="0"/>
    </xf>
    <xf borderId="0" fillId="0" fontId="29" numFmtId="0" xfId="0" applyAlignment="1" applyFont="1">
      <alignment shrinkToFit="0" wrapText="1"/>
    </xf>
    <xf borderId="1" fillId="0" fontId="29" numFmtId="0" xfId="0" applyAlignment="1" applyBorder="1" applyFont="1">
      <alignment readingOrder="0" shrinkToFit="0" wrapText="1"/>
    </xf>
    <xf borderId="1" fillId="0" fontId="214" numFmtId="0" xfId="0" applyAlignment="1" applyBorder="1" applyFont="1">
      <alignment readingOrder="0" shrinkToFit="0" wrapText="1"/>
    </xf>
    <xf borderId="1" fillId="3" fontId="215" numFmtId="0" xfId="0" applyAlignment="1" applyBorder="1" applyFont="1">
      <alignment horizontal="left" readingOrder="0" shrinkToFit="0" wrapText="1"/>
    </xf>
    <xf borderId="1" fillId="0" fontId="29" numFmtId="0" xfId="0" applyAlignment="1" applyBorder="1" applyFont="1">
      <alignment shrinkToFit="0" vertical="top" wrapText="1"/>
    </xf>
    <xf borderId="1" fillId="0" fontId="29" numFmtId="0" xfId="0" applyAlignment="1" applyBorder="1" applyFont="1">
      <alignment shrinkToFit="0" wrapText="1"/>
    </xf>
    <xf borderId="0" fillId="0" fontId="29" numFmtId="0" xfId="0" applyAlignment="1" applyFont="1">
      <alignment readingOrder="0" shrinkToFit="0" wrapText="1"/>
    </xf>
    <xf borderId="9" fillId="6" fontId="7" numFmtId="164" xfId="0" applyAlignment="1" applyBorder="1" applyFont="1" applyNumberFormat="1">
      <alignment shrinkToFit="0" vertical="top" wrapText="0"/>
    </xf>
    <xf borderId="10" fillId="0" fontId="8" numFmtId="0" xfId="0" applyAlignment="1" applyBorder="1" applyFont="1">
      <alignment horizontal="left" readingOrder="0" shrinkToFit="0" vertical="top" wrapText="0"/>
    </xf>
    <xf borderId="11" fillId="0" fontId="8" numFmtId="0" xfId="0" applyAlignment="1" applyBorder="1" applyFont="1">
      <alignment horizontal="left" readingOrder="0" shrinkToFit="0" vertical="top" wrapText="0"/>
    </xf>
    <xf borderId="12" fillId="0" fontId="216" numFmtId="0" xfId="0" applyAlignment="1" applyBorder="1" applyFont="1">
      <alignment readingOrder="0" shrinkToFit="0" vertical="top" wrapText="0"/>
    </xf>
    <xf borderId="1" fillId="0" fontId="217" numFmtId="0" xfId="0" applyAlignment="1" applyBorder="1" applyFont="1">
      <alignment readingOrder="0" shrinkToFit="0" wrapText="0"/>
    </xf>
    <xf borderId="0" fillId="0" fontId="8" numFmtId="167" xfId="0" applyAlignment="1" applyFont="1" applyNumberFormat="1">
      <alignment horizontal="left" readingOrder="0" shrinkToFit="0" vertical="top" wrapText="0"/>
    </xf>
    <xf borderId="0" fillId="0" fontId="8" numFmtId="0" xfId="0" applyAlignment="1" applyFont="1">
      <alignment readingOrder="0" shrinkToFit="0" vertical="top" wrapText="1"/>
    </xf>
    <xf borderId="0" fillId="0" fontId="8" numFmtId="0" xfId="0" applyAlignment="1" applyFont="1">
      <alignment readingOrder="0" shrinkToFit="0" vertical="top" wrapText="0"/>
    </xf>
    <xf borderId="0" fillId="0" fontId="218" numFmtId="0" xfId="0" applyAlignment="1" applyFont="1">
      <alignment readingOrder="0" shrinkToFit="0" vertical="top" wrapText="0"/>
    </xf>
    <xf borderId="0" fillId="0" fontId="0" numFmtId="0" xfId="0" applyAlignment="1" applyFont="1">
      <alignment readingOrder="0" shrinkToFit="0" vertical="top" wrapText="0"/>
    </xf>
    <xf borderId="0" fillId="0" fontId="29" numFmtId="0" xfId="0" applyAlignment="1" applyFont="1">
      <alignment horizontal="left" shrinkToFit="0" vertical="top" wrapText="1"/>
    </xf>
    <xf borderId="1" fillId="0" fontId="219" numFmtId="0" xfId="0" applyAlignment="1" applyBorder="1" applyFont="1">
      <alignment readingOrder="0" vertical="top"/>
    </xf>
    <xf borderId="0" fillId="6" fontId="7" numFmtId="14" xfId="0" applyAlignment="1" applyFont="1" applyNumberFormat="1">
      <alignment readingOrder="0" shrinkToFit="0" vertical="top" wrapText="0"/>
    </xf>
    <xf borderId="0" fillId="0" fontId="29" numFmtId="0" xfId="0" applyFont="1"/>
    <xf borderId="1" fillId="0" fontId="29" numFmtId="164" xfId="0" applyAlignment="1" applyBorder="1" applyFont="1" applyNumberFormat="1">
      <alignment readingOrder="0"/>
    </xf>
    <xf borderId="1" fillId="0" fontId="29" numFmtId="0" xfId="0" applyAlignment="1" applyBorder="1" applyFont="1">
      <alignment readingOrder="0"/>
    </xf>
    <xf borderId="1" fillId="0" fontId="220" numFmtId="0" xfId="0" applyAlignment="1" applyBorder="1" applyFont="1">
      <alignment horizontal="left" readingOrder="0" vertical="top"/>
    </xf>
    <xf borderId="0" fillId="0" fontId="8" numFmtId="0" xfId="0" applyAlignment="1" applyFont="1">
      <alignment horizontal="left" readingOrder="0" shrinkToFit="0" vertical="top" wrapText="1"/>
    </xf>
    <xf borderId="1" fillId="3" fontId="221" numFmtId="0" xfId="0" applyAlignment="1" applyBorder="1" applyFont="1">
      <alignment readingOrder="0" shrinkToFit="0" vertical="top" wrapText="1"/>
    </xf>
    <xf borderId="1" fillId="0" fontId="16" numFmtId="0" xfId="0" applyAlignment="1" applyBorder="1" applyFont="1">
      <alignment readingOrder="0" shrinkToFit="0" vertical="top" wrapText="1"/>
    </xf>
    <xf borderId="0" fillId="3" fontId="221" numFmtId="0" xfId="0" applyAlignment="1" applyFont="1">
      <alignment readingOrder="0" shrinkToFit="0" vertical="top" wrapText="1"/>
    </xf>
    <xf borderId="0" fillId="0" fontId="222" numFmtId="0" xfId="0" applyAlignment="1" applyFont="1">
      <alignment horizontal="left" readingOrder="0" vertical="top"/>
    </xf>
    <xf borderId="1" fillId="3" fontId="223" numFmtId="0" xfId="0" applyAlignment="1" applyBorder="1" applyFont="1">
      <alignment horizontal="left" readingOrder="0" vertical="top"/>
    </xf>
    <xf borderId="1" fillId="3" fontId="8" numFmtId="0" xfId="0" applyAlignment="1" applyBorder="1" applyFont="1">
      <alignment horizontal="left" readingOrder="0" shrinkToFit="0" vertical="top" wrapText="1"/>
    </xf>
    <xf borderId="1" fillId="0" fontId="26" numFmtId="0" xfId="0" applyAlignment="1" applyBorder="1" applyFont="1">
      <alignment readingOrder="0" shrinkToFit="0" vertical="top" wrapText="1"/>
    </xf>
    <xf borderId="1" fillId="0" fontId="16" numFmtId="0" xfId="0" applyAlignment="1" applyBorder="1" applyFont="1">
      <alignment readingOrder="0" shrinkToFit="0" vertical="top" wrapText="1"/>
    </xf>
    <xf borderId="1" fillId="0" fontId="83" numFmtId="167" xfId="0" applyAlignment="1" applyBorder="1" applyFont="1" applyNumberFormat="1">
      <alignment horizontal="left" readingOrder="0" shrinkToFit="0" vertical="top" wrapText="1"/>
    </xf>
    <xf borderId="1" fillId="0" fontId="83" numFmtId="0" xfId="0" applyAlignment="1" applyBorder="1" applyFont="1">
      <alignment horizontal="left" readingOrder="0" shrinkToFit="0" vertical="top" wrapText="1"/>
    </xf>
    <xf borderId="1" fillId="0" fontId="202" numFmtId="0" xfId="0" applyAlignment="1" applyBorder="1" applyFont="1">
      <alignment horizontal="left" readingOrder="0" shrinkToFit="0" vertical="top" wrapText="1"/>
    </xf>
    <xf borderId="1" fillId="0" fontId="125" numFmtId="0" xfId="0" applyAlignment="1" applyBorder="1" applyFont="1">
      <alignment horizontal="left" readingOrder="0" shrinkToFit="0" vertical="top" wrapText="1"/>
    </xf>
    <xf borderId="1" fillId="0" fontId="83" numFmtId="0" xfId="0" applyAlignment="1" applyBorder="1" applyFont="1">
      <alignment horizontal="left" readingOrder="0" shrinkToFit="0" vertical="top" wrapText="1"/>
    </xf>
    <xf borderId="1" fillId="0" fontId="29" numFmtId="0" xfId="0" applyAlignment="1" applyBorder="1" applyFont="1">
      <alignment horizontal="left" readingOrder="0" shrinkToFit="0" vertical="top" wrapText="0"/>
    </xf>
    <xf borderId="1" fillId="2" fontId="3" numFmtId="0" xfId="0" applyAlignment="1" applyBorder="1" applyFont="1">
      <alignment horizontal="left" shrinkToFit="0" vertical="top" wrapText="1"/>
    </xf>
    <xf borderId="1" fillId="2" fontId="224" numFmtId="0" xfId="0" applyAlignment="1" applyBorder="1" applyFont="1">
      <alignment horizontal="left" readingOrder="0" shrinkToFit="0" vertical="top" wrapText="1"/>
    </xf>
    <xf borderId="1" fillId="2" fontId="224" numFmtId="0" xfId="0" applyAlignment="1" applyBorder="1" applyFont="1">
      <alignment horizontal="left" shrinkToFit="0" vertical="top" wrapText="1"/>
    </xf>
    <xf borderId="1" fillId="0" fontId="16" numFmtId="0" xfId="0" applyAlignment="1" applyBorder="1" applyFont="1">
      <alignment vertical="bottom"/>
    </xf>
    <xf borderId="1" fillId="0" fontId="16" numFmtId="167" xfId="0" applyAlignment="1" applyBorder="1" applyFont="1" applyNumberFormat="1">
      <alignment readingOrder="0" shrinkToFit="0" vertical="top" wrapText="1"/>
    </xf>
    <xf borderId="1" fillId="0" fontId="225" numFmtId="0" xfId="0" applyAlignment="1" applyBorder="1" applyFont="1">
      <alignment shrinkToFit="0" vertical="top" wrapText="1"/>
    </xf>
    <xf borderId="0" fillId="3" fontId="8" numFmtId="0" xfId="0" applyAlignment="1" applyFont="1">
      <alignment readingOrder="0" shrinkToFit="0" vertical="top" wrapText="1"/>
    </xf>
    <xf borderId="1" fillId="3" fontId="8" numFmtId="0" xfId="0" applyAlignment="1" applyBorder="1" applyFont="1">
      <alignment vertical="top"/>
    </xf>
    <xf borderId="0" fillId="0" fontId="16" numFmtId="0" xfId="0" applyAlignment="1" applyFont="1">
      <alignment readingOrder="0" shrinkToFit="0" vertical="top" wrapText="1"/>
    </xf>
    <xf borderId="1" fillId="0" fontId="16" numFmtId="167" xfId="0" applyAlignment="1" applyBorder="1" applyFont="1" applyNumberFormat="1">
      <alignment horizontal="right" readingOrder="0" shrinkToFit="0" vertical="top" wrapText="1"/>
    </xf>
    <xf borderId="1" fillId="0" fontId="122" numFmtId="0" xfId="0" applyAlignment="1" applyBorder="1" applyFont="1">
      <alignment readingOrder="0" shrinkToFit="0" vertical="top" wrapText="1"/>
    </xf>
    <xf borderId="1" fillId="0" fontId="115" numFmtId="0" xfId="0" applyAlignment="1" applyBorder="1" applyFont="1">
      <alignment readingOrder="0"/>
    </xf>
    <xf borderId="8" fillId="0" fontId="29" numFmtId="0" xfId="0" applyAlignment="1" applyBorder="1" applyFont="1">
      <alignment horizontal="left" readingOrder="0" vertical="top"/>
    </xf>
    <xf borderId="8" fillId="0" fontId="29" numFmtId="167" xfId="0" applyAlignment="1" applyBorder="1" applyFont="1" applyNumberFormat="1">
      <alignment horizontal="left" readingOrder="0" shrinkToFit="0" vertical="top" wrapText="1"/>
    </xf>
    <xf borderId="8" fillId="0" fontId="29" numFmtId="0" xfId="0" applyAlignment="1" applyBorder="1" applyFont="1">
      <alignment horizontal="left" readingOrder="0" shrinkToFit="0" vertical="top" wrapText="1"/>
    </xf>
    <xf borderId="8" fillId="0" fontId="226" numFmtId="0" xfId="0" applyAlignment="1" applyBorder="1" applyFont="1">
      <alignment horizontal="left" readingOrder="0" shrinkToFit="0" vertical="top" wrapText="1"/>
    </xf>
    <xf borderId="8" fillId="3" fontId="8" numFmtId="0" xfId="0" applyAlignment="1" applyBorder="1" applyFont="1">
      <alignment horizontal="left" readingOrder="0" vertical="top"/>
    </xf>
    <xf borderId="8" fillId="0" fontId="117" numFmtId="0" xfId="0" applyAlignment="1" applyBorder="1" applyFont="1">
      <alignment horizontal="left" readingOrder="0" shrinkToFit="0" vertical="top" wrapText="1"/>
    </xf>
    <xf borderId="8" fillId="0" fontId="29" numFmtId="0" xfId="0" applyAlignment="1" applyBorder="1" applyFont="1">
      <alignment readingOrder="0" shrinkToFit="0" vertical="top" wrapText="1"/>
    </xf>
    <xf borderId="8" fillId="0" fontId="8" numFmtId="0" xfId="0" applyAlignment="1" applyBorder="1" applyFont="1">
      <alignment horizontal="left" readingOrder="0" shrinkToFit="0" vertical="top" wrapText="1"/>
    </xf>
    <xf borderId="1" fillId="0" fontId="29" numFmtId="167" xfId="0" applyAlignment="1" applyBorder="1" applyFont="1" applyNumberFormat="1">
      <alignment horizontal="left" readingOrder="0" shrinkToFit="0" vertical="top" wrapText="1"/>
    </xf>
    <xf borderId="1" fillId="0" fontId="117" numFmtId="0" xfId="0" applyAlignment="1" applyBorder="1" applyFont="1">
      <alignment horizontal="left" readingOrder="0" shrinkToFit="0" vertical="top" wrapText="1"/>
    </xf>
    <xf borderId="1" fillId="0" fontId="16" numFmtId="167" xfId="0" applyAlignment="1" applyBorder="1" applyFont="1" applyNumberFormat="1">
      <alignment horizontal="left" readingOrder="0" shrinkToFit="0" vertical="top" wrapText="1"/>
    </xf>
    <xf borderId="1" fillId="0" fontId="29" numFmtId="0" xfId="0" applyBorder="1" applyFont="1"/>
    <xf borderId="0" fillId="0" fontId="115" numFmtId="0" xfId="0" applyAlignment="1" applyFont="1">
      <alignment readingOrder="0"/>
    </xf>
    <xf borderId="1" fillId="0" fontId="8" numFmtId="169" xfId="0" applyAlignment="1" applyBorder="1" applyFont="1" applyNumberFormat="1">
      <alignment horizontal="left" readingOrder="0" vertical="top"/>
    </xf>
    <xf borderId="1" fillId="0" fontId="8" numFmtId="0" xfId="0" applyAlignment="1" applyBorder="1" applyFont="1">
      <alignment readingOrder="0" shrinkToFit="0" vertical="top" wrapText="1"/>
    </xf>
    <xf borderId="0" fillId="0" fontId="29" numFmtId="164" xfId="0" applyAlignment="1" applyFont="1" applyNumberFormat="1">
      <alignment horizontal="left" readingOrder="0" vertical="top"/>
    </xf>
    <xf borderId="1" fillId="0" fontId="227" numFmtId="0" xfId="0" applyAlignment="1" applyBorder="1" applyFont="1">
      <alignment readingOrder="0" vertical="top"/>
    </xf>
    <xf borderId="1" fillId="0" fontId="228" numFmtId="0" xfId="0" applyAlignment="1" applyBorder="1" applyFont="1">
      <alignment readingOrder="0" shrinkToFit="0" vertical="top" wrapText="1"/>
    </xf>
    <xf borderId="0" fillId="0" fontId="16" numFmtId="164" xfId="0" applyAlignment="1" applyFont="1" applyNumberFormat="1">
      <alignment vertical="top"/>
    </xf>
    <xf borderId="1" fillId="0" fontId="229" numFmtId="0" xfId="0" applyAlignment="1" applyBorder="1" applyFont="1">
      <alignment shrinkToFit="0" vertical="top" wrapText="1"/>
    </xf>
    <xf borderId="1" fillId="3" fontId="8" numFmtId="0" xfId="0" applyAlignment="1" applyBorder="1" applyFont="1">
      <alignment shrinkToFit="0" vertical="top" wrapText="1"/>
    </xf>
    <xf borderId="1" fillId="0" fontId="16" numFmtId="0" xfId="0" applyAlignment="1" applyBorder="1" applyFont="1">
      <alignment readingOrder="0" vertical="top"/>
    </xf>
    <xf borderId="1" fillId="0" fontId="21" numFmtId="0" xfId="0" applyAlignment="1" applyBorder="1" applyFont="1">
      <alignment shrinkToFit="0" vertical="top" wrapText="1"/>
    </xf>
    <xf borderId="8" fillId="0" fontId="16" numFmtId="0" xfId="0" applyAlignment="1" applyBorder="1" applyFont="1">
      <alignment horizontal="left" readingOrder="0" shrinkToFit="0" vertical="top" wrapText="1"/>
    </xf>
    <xf borderId="1" fillId="0" fontId="29" numFmtId="0" xfId="0" applyAlignment="1" applyBorder="1" applyFont="1">
      <alignment readingOrder="0" shrinkToFit="0" vertical="top" wrapText="0"/>
    </xf>
    <xf borderId="0" fillId="0" fontId="29" numFmtId="164" xfId="0" applyAlignment="1" applyFont="1" applyNumberFormat="1">
      <alignment readingOrder="0" shrinkToFit="0" vertical="top" wrapText="1"/>
    </xf>
    <xf borderId="1" fillId="0" fontId="8" numFmtId="169" xfId="0" applyAlignment="1" applyBorder="1" applyFont="1" applyNumberFormat="1">
      <alignment horizontal="left" readingOrder="0" shrinkToFit="0" vertical="top" wrapText="1"/>
    </xf>
    <xf borderId="1" fillId="0" fontId="16" numFmtId="0" xfId="0" applyAlignment="1" applyBorder="1" applyFont="1">
      <alignment readingOrder="0" shrinkToFit="0" vertical="top" wrapText="1"/>
    </xf>
    <xf borderId="1" fillId="0" fontId="16" numFmtId="164" xfId="0" applyAlignment="1" applyBorder="1" applyFont="1" applyNumberFormat="1">
      <alignment vertical="top"/>
    </xf>
    <xf borderId="8" fillId="0" fontId="16" numFmtId="0" xfId="0" applyAlignment="1" applyBorder="1" applyFont="1">
      <alignment vertical="top"/>
    </xf>
    <xf borderId="8" fillId="0" fontId="16" numFmtId="167" xfId="0" applyAlignment="1" applyBorder="1" applyFont="1" applyNumberFormat="1">
      <alignment readingOrder="0" shrinkToFit="0" vertical="top" wrapText="1"/>
    </xf>
    <xf borderId="8" fillId="0" fontId="16" numFmtId="0" xfId="0" applyAlignment="1" applyBorder="1" applyFont="1">
      <alignment readingOrder="0" shrinkToFit="0" vertical="top" wrapText="1"/>
    </xf>
    <xf borderId="8" fillId="0" fontId="230" numFmtId="0" xfId="0" applyAlignment="1" applyBorder="1" applyFont="1">
      <alignment shrinkToFit="0" vertical="top" wrapText="1"/>
    </xf>
    <xf borderId="8" fillId="3" fontId="8" numFmtId="0" xfId="0" applyAlignment="1" applyBorder="1" applyFont="1">
      <alignment shrinkToFit="0" vertical="top" wrapText="1"/>
    </xf>
    <xf borderId="8" fillId="0" fontId="16" numFmtId="0" xfId="0" applyAlignment="1" applyBorder="1" applyFont="1">
      <alignment readingOrder="0" vertical="top"/>
    </xf>
    <xf borderId="8" fillId="0" fontId="16" numFmtId="0" xfId="0" applyAlignment="1" applyBorder="1" applyFont="1">
      <alignment shrinkToFit="0" vertical="top" wrapText="1"/>
    </xf>
    <xf borderId="8" fillId="0" fontId="231" numFmtId="0" xfId="0" applyAlignment="1" applyBorder="1" applyFont="1">
      <alignment shrinkToFit="0" vertical="top" wrapText="1"/>
    </xf>
    <xf borderId="8" fillId="0" fontId="21" numFmtId="0" xfId="0" applyAlignment="1" applyBorder="1" applyFont="1">
      <alignment shrinkToFit="0" vertical="top" wrapText="1"/>
    </xf>
    <xf borderId="1" fillId="0" fontId="29" numFmtId="164" xfId="0" applyAlignment="1" applyBorder="1" applyFont="1" applyNumberFormat="1">
      <alignment horizontal="left" readingOrder="0" vertical="top"/>
    </xf>
    <xf borderId="8" fillId="0" fontId="8" numFmtId="167" xfId="0" applyAlignment="1" applyBorder="1" applyFont="1" applyNumberFormat="1">
      <alignment horizontal="left" readingOrder="0" shrinkToFit="0" vertical="top" wrapText="1"/>
    </xf>
    <xf borderId="8" fillId="0" fontId="8" numFmtId="0" xfId="0" applyAlignment="1" applyBorder="1" applyFont="1">
      <alignment readingOrder="0" shrinkToFit="0" vertical="top" wrapText="1"/>
    </xf>
    <xf borderId="8" fillId="0" fontId="232" numFmtId="0" xfId="0" applyAlignment="1" applyBorder="1" applyFont="1">
      <alignment horizontal="left" readingOrder="0" shrinkToFit="0" vertical="top" wrapText="1"/>
    </xf>
    <xf borderId="8" fillId="0" fontId="8" numFmtId="0" xfId="0" applyAlignment="1" applyBorder="1" applyFont="1">
      <alignment readingOrder="0" vertical="top"/>
    </xf>
    <xf borderId="8" fillId="0" fontId="8" numFmtId="0" xfId="0" applyAlignment="1" applyBorder="1" applyFont="1">
      <alignment horizontal="left" readingOrder="0" shrinkToFit="0" vertical="top" wrapText="1"/>
    </xf>
    <xf borderId="8" fillId="0" fontId="233" numFmtId="0" xfId="0" applyAlignment="1" applyBorder="1" applyFont="1">
      <alignment readingOrder="0" shrinkToFit="0" vertical="top" wrapText="1"/>
    </xf>
    <xf borderId="8" fillId="0" fontId="8" numFmtId="0" xfId="0" applyAlignment="1" applyBorder="1" applyFont="1">
      <alignment horizontal="center" readingOrder="0" vertical="top"/>
    </xf>
    <xf borderId="8" fillId="0" fontId="0" numFmtId="0" xfId="0" applyAlignment="1" applyBorder="1" applyFont="1">
      <alignment readingOrder="0" shrinkToFit="0" vertical="top" wrapText="1"/>
    </xf>
    <xf borderId="8" fillId="0" fontId="21" numFmtId="167" xfId="0" applyAlignment="1" applyBorder="1" applyFont="1" applyNumberFormat="1">
      <alignment horizontal="left" readingOrder="0" shrinkToFit="0" vertical="top" wrapText="1"/>
    </xf>
    <xf borderId="1" fillId="0" fontId="21" numFmtId="0" xfId="0" applyAlignment="1" applyBorder="1" applyFont="1">
      <alignment readingOrder="0" shrinkToFit="0" vertical="top" wrapText="1"/>
    </xf>
    <xf borderId="1" fillId="0" fontId="234" numFmtId="0" xfId="0" applyAlignment="1" applyBorder="1" applyFont="1">
      <alignment readingOrder="0" shrinkToFit="0" vertical="top" wrapText="1"/>
    </xf>
    <xf borderId="1" fillId="0" fontId="235" numFmtId="0" xfId="0" applyAlignment="1" applyBorder="1" applyFont="1">
      <alignment shrinkToFit="0" vertical="top" wrapText="1"/>
    </xf>
    <xf borderId="1" fillId="0" fontId="21" numFmtId="0" xfId="0" applyAlignment="1" applyBorder="1" applyFont="1">
      <alignment readingOrder="0" vertical="top"/>
    </xf>
    <xf borderId="1" fillId="0" fontId="26" numFmtId="0" xfId="0" applyAlignment="1" applyBorder="1" applyFont="1">
      <alignment vertical="top"/>
    </xf>
    <xf borderId="0" fillId="0" fontId="16" numFmtId="0" xfId="0" applyAlignment="1" applyFont="1">
      <alignment vertical="bottom"/>
    </xf>
    <xf borderId="1" fillId="0" fontId="236" numFmtId="0" xfId="0" applyAlignment="1" applyBorder="1" applyFont="1">
      <alignment readingOrder="0" shrinkToFit="0" vertical="top" wrapText="1"/>
    </xf>
    <xf borderId="1" fillId="3" fontId="8" numFmtId="0" xfId="0" applyAlignment="1" applyBorder="1" applyFont="1">
      <alignment readingOrder="0" shrinkToFit="0" vertical="top" wrapText="1"/>
    </xf>
    <xf borderId="13" fillId="0" fontId="16" numFmtId="0" xfId="0" applyAlignment="1" applyBorder="1" applyFont="1">
      <alignment vertical="bottom"/>
    </xf>
    <xf borderId="8" fillId="0" fontId="16" numFmtId="167" xfId="0" applyAlignment="1" applyBorder="1" applyFont="1" applyNumberFormat="1">
      <alignment horizontal="right" readingOrder="0" shrinkToFit="0" vertical="top" wrapText="1"/>
    </xf>
    <xf borderId="8" fillId="0" fontId="122" numFmtId="0" xfId="0" applyAlignment="1" applyBorder="1" applyFont="1">
      <alignment readingOrder="0" shrinkToFit="0" vertical="top" wrapText="1"/>
    </xf>
    <xf borderId="8" fillId="3" fontId="8" numFmtId="0" xfId="0" applyAlignment="1" applyBorder="1" applyFont="1">
      <alignment vertical="top"/>
    </xf>
    <xf borderId="13" fillId="0" fontId="115" numFmtId="0" xfId="0" applyAlignment="1" applyBorder="1" applyFont="1">
      <alignment readingOrder="0"/>
    </xf>
    <xf borderId="6" fillId="0" fontId="29" numFmtId="0" xfId="0" applyAlignment="1" applyBorder="1" applyFont="1">
      <alignment horizontal="left" readingOrder="0" vertical="top"/>
    </xf>
    <xf borderId="6" fillId="0" fontId="29" numFmtId="167" xfId="0" applyAlignment="1" applyBorder="1" applyFont="1" applyNumberFormat="1">
      <alignment horizontal="left" readingOrder="0" shrinkToFit="0" vertical="top" wrapText="1"/>
    </xf>
    <xf borderId="6" fillId="0" fontId="29" numFmtId="0" xfId="0" applyAlignment="1" applyBorder="1" applyFont="1">
      <alignment horizontal="left" readingOrder="0" shrinkToFit="0" vertical="top" wrapText="1"/>
    </xf>
    <xf borderId="6" fillId="0" fontId="237" numFmtId="0" xfId="0" applyAlignment="1" applyBorder="1" applyFont="1">
      <alignment horizontal="left" readingOrder="0" shrinkToFit="0" vertical="top" wrapText="1"/>
    </xf>
    <xf borderId="6" fillId="3" fontId="8" numFmtId="0" xfId="0" applyAlignment="1" applyBorder="1" applyFont="1">
      <alignment horizontal="left" readingOrder="0" vertical="top"/>
    </xf>
    <xf borderId="6" fillId="0" fontId="117" numFmtId="0" xfId="0" applyAlignment="1" applyBorder="1" applyFont="1">
      <alignment horizontal="left" readingOrder="0" shrinkToFit="0" vertical="top" wrapText="1"/>
    </xf>
    <xf borderId="6" fillId="0" fontId="29" numFmtId="0" xfId="0" applyAlignment="1" applyBorder="1" applyFont="1">
      <alignment readingOrder="0" shrinkToFit="0" vertical="top" wrapText="1"/>
    </xf>
    <xf borderId="6" fillId="0" fontId="8" numFmtId="0" xfId="0" applyAlignment="1" applyBorder="1" applyFont="1">
      <alignment horizontal="left" readingOrder="0" shrinkToFit="0" vertical="top" wrapText="1"/>
    </xf>
    <xf borderId="13" fillId="0" fontId="16" numFmtId="164" xfId="0" applyAlignment="1" applyBorder="1" applyFont="1" applyNumberFormat="1">
      <alignment vertical="top"/>
    </xf>
    <xf borderId="1" fillId="0" fontId="16" numFmtId="169" xfId="0" applyAlignment="1" applyBorder="1" applyFont="1" applyNumberFormat="1">
      <alignment horizontal="left" readingOrder="0" shrinkToFit="0" vertical="top" wrapText="1"/>
    </xf>
    <xf borderId="6" fillId="0" fontId="16" numFmtId="0" xfId="0" applyAlignment="1" applyBorder="1" applyFont="1">
      <alignment vertical="top"/>
    </xf>
    <xf borderId="6" fillId="0" fontId="21" numFmtId="167" xfId="0" applyAlignment="1" applyBorder="1" applyFont="1" applyNumberFormat="1">
      <alignment horizontal="left" readingOrder="0" shrinkToFit="0" vertical="top" wrapText="1"/>
    </xf>
    <xf borderId="8" fillId="0" fontId="238" numFmtId="0" xfId="0" applyAlignment="1" applyBorder="1" applyFont="1">
      <alignment vertical="top"/>
    </xf>
    <xf borderId="6" fillId="0" fontId="239" numFmtId="0" xfId="0" applyAlignment="1" applyBorder="1" applyFont="1">
      <alignment shrinkToFit="0" vertical="top" wrapText="1"/>
    </xf>
    <xf borderId="8" fillId="0" fontId="16" numFmtId="0" xfId="0" applyAlignment="1" applyBorder="1" applyFont="1">
      <alignment shrinkToFit="0" vertical="top" wrapText="1"/>
    </xf>
    <xf borderId="8" fillId="0" fontId="21" numFmtId="0" xfId="0" applyAlignment="1" applyBorder="1" applyFont="1">
      <alignment readingOrder="0" shrinkToFit="0" vertical="top" wrapText="1"/>
    </xf>
    <xf borderId="6" fillId="0" fontId="21" numFmtId="0" xfId="0" applyAlignment="1" applyBorder="1" applyFont="1">
      <alignment readingOrder="0" vertical="top"/>
    </xf>
    <xf borderId="6" fillId="0" fontId="26" numFmtId="0" xfId="0" applyAlignment="1" applyBorder="1" applyFont="1">
      <alignment vertical="top"/>
    </xf>
    <xf borderId="6" fillId="0" fontId="16" numFmtId="0" xfId="0" applyAlignment="1" applyBorder="1" applyFont="1">
      <alignment readingOrder="0" vertical="top"/>
    </xf>
    <xf borderId="6" fillId="3" fontId="0" numFmtId="0" xfId="0" applyAlignment="1" applyBorder="1" applyFont="1">
      <alignment horizontal="left" readingOrder="0" shrinkToFit="0" vertical="top" wrapText="1"/>
    </xf>
    <xf borderId="8" fillId="0" fontId="240" numFmtId="0" xfId="0" applyAlignment="1" applyBorder="1" applyFont="1">
      <alignment shrinkToFit="0" vertical="top" wrapText="1"/>
    </xf>
    <xf borderId="8" fillId="0" fontId="16" numFmtId="0" xfId="0" applyAlignment="1" applyBorder="1" applyFont="1">
      <alignment horizontal="center" shrinkToFit="0" vertical="top" wrapText="1"/>
    </xf>
    <xf borderId="0" fillId="6" fontId="7" numFmtId="164" xfId="0" applyAlignment="1" applyFont="1" applyNumberFormat="1">
      <alignment vertical="top"/>
    </xf>
    <xf borderId="0" fillId="0" fontId="8" numFmtId="0" xfId="0" applyAlignment="1" applyFont="1">
      <alignment horizontal="center" readingOrder="0" vertical="top"/>
    </xf>
    <xf borderId="0" fillId="0" fontId="241" numFmtId="0" xfId="0" applyAlignment="1" applyFont="1">
      <alignment readingOrder="0" vertical="top"/>
    </xf>
    <xf borderId="9" fillId="6" fontId="7" numFmtId="164" xfId="0" applyAlignment="1" applyBorder="1" applyFont="1" applyNumberFormat="1">
      <alignment vertical="top"/>
    </xf>
    <xf borderId="10" fillId="0" fontId="8" numFmtId="0" xfId="0" applyAlignment="1" applyBorder="1" applyFont="1">
      <alignment horizontal="center" readingOrder="0" vertical="top"/>
    </xf>
    <xf borderId="11" fillId="0" fontId="8" numFmtId="0" xfId="0" applyAlignment="1" applyBorder="1" applyFont="1">
      <alignment horizontal="center" readingOrder="0" vertical="top"/>
    </xf>
    <xf borderId="12" fillId="0" fontId="242" numFmtId="0" xfId="0" applyAlignment="1" applyBorder="1" applyFont="1">
      <alignment readingOrder="0" vertical="top"/>
    </xf>
    <xf borderId="1" fillId="0" fontId="243" numFmtId="0" xfId="0" applyAlignment="1" applyBorder="1" applyFont="1">
      <alignment readingOrder="0" vertical="top"/>
    </xf>
    <xf borderId="1" fillId="0" fontId="8" numFmtId="0" xfId="0" applyAlignment="1" applyBorder="1" applyFont="1">
      <alignment readingOrder="0" vertical="top"/>
    </xf>
    <xf borderId="1" fillId="0" fontId="244" numFmtId="0" xfId="0" applyAlignment="1" applyBorder="1" applyFont="1">
      <alignment readingOrder="0" vertical="top"/>
    </xf>
    <xf borderId="1" fillId="6" fontId="7" numFmtId="164" xfId="0" applyAlignment="1" applyBorder="1" applyFont="1" applyNumberFormat="1">
      <alignment horizontal="left" vertical="top"/>
    </xf>
    <xf borderId="1" fillId="0" fontId="245" numFmtId="0" xfId="0" applyAlignment="1" applyBorder="1" applyFont="1">
      <alignment horizontal="left" readingOrder="0" vertical="top"/>
    </xf>
    <xf borderId="0" fillId="6" fontId="7" numFmtId="164" xfId="0" applyAlignment="1" applyFont="1" applyNumberFormat="1">
      <alignment horizontal="left" vertical="top"/>
    </xf>
    <xf borderId="0" fillId="0" fontId="8" numFmtId="0" xfId="0" applyAlignment="1" applyFont="1">
      <alignment horizontal="left" readingOrder="0" vertical="top"/>
    </xf>
    <xf borderId="0" fillId="0" fontId="246" numFmtId="0" xfId="0" applyAlignment="1" applyFont="1">
      <alignment horizontal="left" readingOrder="0" vertical="top"/>
    </xf>
    <xf borderId="0" fillId="0" fontId="29" numFmtId="0" xfId="0" applyAlignment="1" applyFont="1">
      <alignment horizontal="left" readingOrder="0" vertical="top"/>
    </xf>
    <xf borderId="0" fillId="0" fontId="247" numFmtId="0" xfId="0" applyAlignment="1" applyFont="1">
      <alignment readingOrder="0" shrinkToFit="0" vertical="top" wrapText="1"/>
    </xf>
    <xf borderId="1" fillId="0" fontId="247" numFmtId="0" xfId="0" applyAlignment="1" applyBorder="1" applyFont="1">
      <alignment readingOrder="0" shrinkToFit="0" vertical="top" wrapText="1"/>
    </xf>
    <xf borderId="9" fillId="6" fontId="7" numFmtId="0" xfId="0" applyAlignment="1" applyBorder="1" applyFont="1">
      <alignment shrinkToFit="0" vertical="top" wrapText="1"/>
    </xf>
    <xf borderId="10" fillId="0" fontId="8" numFmtId="0" xfId="0" applyAlignment="1" applyBorder="1" applyFont="1">
      <alignment horizontal="center" readingOrder="0" shrinkToFit="0" vertical="top" wrapText="1"/>
    </xf>
    <xf borderId="11" fillId="0" fontId="8" numFmtId="0" xfId="0" applyAlignment="1" applyBorder="1" applyFont="1">
      <alignment horizontal="center" readingOrder="0" shrinkToFit="0" vertical="top" wrapText="1"/>
    </xf>
    <xf borderId="12" fillId="0" fontId="248" numFmtId="0" xfId="0" applyAlignment="1" applyBorder="1" applyFont="1">
      <alignment readingOrder="0" shrinkToFit="0" vertical="top" wrapText="1"/>
    </xf>
    <xf borderId="1" fillId="0" fontId="8" numFmtId="176" xfId="0" applyAlignment="1" applyBorder="1" applyFont="1" applyNumberFormat="1">
      <alignment horizontal="left" readingOrder="0" shrinkToFit="0" vertical="top" wrapText="1"/>
    </xf>
    <xf borderId="1" fillId="0" fontId="249" numFmtId="0" xfId="0" applyAlignment="1" applyBorder="1" applyFont="1">
      <alignment horizontal="left" readingOrder="0" shrinkToFit="0" vertical="top" wrapText="1"/>
    </xf>
    <xf borderId="14" fillId="6" fontId="7" numFmtId="0" xfId="0" applyAlignment="1" applyBorder="1" applyFont="1">
      <alignment shrinkToFit="0" vertical="top" wrapText="1"/>
    </xf>
    <xf borderId="15" fillId="0" fontId="8" numFmtId="0" xfId="0" applyAlignment="1" applyBorder="1" applyFont="1">
      <alignment horizontal="center" readingOrder="0" shrinkToFit="0" vertical="top" wrapText="1"/>
    </xf>
    <xf borderId="11" fillId="0" fontId="8" numFmtId="0" xfId="0" applyAlignment="1" applyBorder="1" applyFont="1">
      <alignment horizontal="center" readingOrder="0" shrinkToFit="0" vertical="top" wrapText="1"/>
    </xf>
    <xf borderId="1" fillId="0" fontId="8" numFmtId="176" xfId="0" applyAlignment="1" applyBorder="1" applyFont="1" applyNumberFormat="1">
      <alignment horizontal="left" readingOrder="0" shrinkToFit="0" vertical="top" wrapText="1"/>
    </xf>
    <xf borderId="16" fillId="0" fontId="8" numFmtId="0" xfId="0" applyAlignment="1" applyBorder="1" applyFont="1">
      <alignment horizontal="center" readingOrder="0" shrinkToFit="0" vertical="top" wrapText="1"/>
    </xf>
    <xf borderId="0" fillId="6" fontId="7" numFmtId="164" xfId="0" applyAlignment="1" applyFont="1" applyNumberFormat="1">
      <alignment shrinkToFit="0" vertical="top" wrapText="1"/>
    </xf>
    <xf borderId="0" fillId="0" fontId="8" numFmtId="0" xfId="0" applyAlignment="1" applyFont="1">
      <alignment horizontal="center" readingOrder="0" shrinkToFit="0" vertical="top" wrapText="1"/>
    </xf>
    <xf borderId="0" fillId="0" fontId="250" numFmtId="0" xfId="0" applyAlignment="1" applyFont="1">
      <alignment readingOrder="0" shrinkToFit="0" vertical="top" wrapText="1"/>
    </xf>
    <xf borderId="1" fillId="0" fontId="8" numFmtId="169" xfId="0" applyAlignment="1" applyBorder="1" applyFont="1" applyNumberFormat="1">
      <alignment horizontal="left" readingOrder="0" shrinkToFit="0" vertical="top" wrapText="1"/>
    </xf>
    <xf borderId="9" fillId="6" fontId="7" numFmtId="164" xfId="0" applyAlignment="1" applyBorder="1" applyFont="1" applyNumberFormat="1">
      <alignment shrinkToFit="0" vertical="top" wrapText="1"/>
    </xf>
    <xf borderId="10" fillId="0" fontId="8" numFmtId="0" xfId="0" applyAlignment="1" applyBorder="1" applyFont="1">
      <alignment horizontal="center" readingOrder="0" shrinkToFit="0" vertical="top" wrapText="1"/>
    </xf>
    <xf borderId="14" fillId="6" fontId="7" numFmtId="164" xfId="0" applyAlignment="1" applyBorder="1" applyFont="1" applyNumberFormat="1">
      <alignment shrinkToFit="0" vertical="top" wrapText="1"/>
    </xf>
    <xf borderId="8" fillId="0" fontId="16" numFmtId="0" xfId="0" applyAlignment="1" applyBorder="1" applyFont="1">
      <alignment readingOrder="0" shrinkToFit="0" vertical="top" wrapText="1"/>
    </xf>
    <xf borderId="0" fillId="0" fontId="247" numFmtId="0" xfId="0" applyAlignment="1" applyFont="1">
      <alignment readingOrder="0" vertical="top"/>
    </xf>
    <xf borderId="1" fillId="6" fontId="7" numFmtId="164" xfId="0" applyAlignment="1" applyBorder="1" applyFont="1" applyNumberFormat="1">
      <alignment shrinkToFit="0" vertical="top" wrapText="1"/>
    </xf>
    <xf borderId="1" fillId="0" fontId="8" numFmtId="0" xfId="0" applyAlignment="1" applyBorder="1" applyFont="1">
      <alignment horizontal="center" readingOrder="0" shrinkToFit="0" vertical="top" wrapText="1"/>
    </xf>
    <xf borderId="0" fillId="0" fontId="29" numFmtId="164" xfId="0" applyAlignment="1" applyFont="1" applyNumberFormat="1">
      <alignment readingOrder="0"/>
    </xf>
    <xf borderId="0" fillId="0" fontId="29" numFmtId="0" xfId="0" applyAlignment="1" applyFont="1">
      <alignment readingOrder="0"/>
    </xf>
    <xf borderId="0" fillId="3" fontId="26" numFmtId="0" xfId="0" applyAlignment="1" applyFont="1">
      <alignment horizontal="left" readingOrder="0" vertical="top"/>
    </xf>
    <xf borderId="1" fillId="0" fontId="251" numFmtId="0" xfId="0" applyAlignment="1" applyBorder="1" applyFont="1">
      <alignment readingOrder="0" shrinkToFit="0" vertical="top" wrapText="1"/>
    </xf>
    <xf borderId="1" fillId="0" fontId="247" numFmtId="0" xfId="0" applyAlignment="1" applyBorder="1" applyFont="1">
      <alignment readingOrder="0" vertical="top"/>
    </xf>
    <xf borderId="0" fillId="0" fontId="29" numFmtId="164" xfId="0" applyAlignment="1" applyFont="1" applyNumberFormat="1">
      <alignment horizontal="left" readingOrder="0" shrinkToFit="0" vertical="top" wrapText="1"/>
    </xf>
    <xf borderId="0" fillId="0" fontId="252" numFmtId="0" xfId="0" applyAlignment="1" applyFont="1">
      <alignment horizontal="left" readingOrder="0" shrinkToFit="0" vertical="top" wrapText="1"/>
    </xf>
    <xf borderId="0" fillId="0" fontId="253" numFmtId="0" xfId="0" applyAlignment="1" applyFont="1">
      <alignment horizontal="left" readingOrder="0" shrinkToFit="0" vertical="top" wrapText="1"/>
    </xf>
    <xf borderId="16" fillId="0" fontId="29" numFmtId="0" xfId="0" applyAlignment="1" applyBorder="1" applyFont="1">
      <alignment horizontal="left" readingOrder="0" vertical="top"/>
    </xf>
    <xf borderId="11" fillId="0" fontId="29" numFmtId="0" xfId="0" applyAlignment="1" applyBorder="1" applyFont="1">
      <alignment horizontal="left" readingOrder="0" vertical="top"/>
    </xf>
    <xf borderId="12" fillId="0" fontId="29" numFmtId="0" xfId="0" applyAlignment="1" applyBorder="1" applyFont="1">
      <alignment horizontal="left" readingOrder="0" vertical="top"/>
    </xf>
    <xf borderId="1" fillId="0" fontId="29" numFmtId="169" xfId="0" applyAlignment="1" applyBorder="1" applyFont="1" applyNumberFormat="1">
      <alignment horizontal="left" readingOrder="0" vertical="top"/>
    </xf>
    <xf borderId="1" fillId="0" fontId="254" numFmtId="0" xfId="0" applyAlignment="1" applyBorder="1" applyFont="1">
      <alignment horizontal="left" readingOrder="0" vertical="top"/>
    </xf>
    <xf borderId="1" fillId="0" fontId="255" numFmtId="0" xfId="0" applyAlignment="1" applyBorder="1" applyFont="1">
      <alignment horizontal="left" readingOrder="0" vertical="top"/>
    </xf>
    <xf borderId="14" fillId="0" fontId="29" numFmtId="164" xfId="0" applyAlignment="1" applyBorder="1" applyFont="1" applyNumberFormat="1">
      <alignment readingOrder="0" shrinkToFit="0" vertical="top" wrapText="1"/>
    </xf>
    <xf borderId="15" fillId="0" fontId="29" numFmtId="0" xfId="0" applyAlignment="1" applyBorder="1" applyFont="1">
      <alignment readingOrder="0" shrinkToFit="0" vertical="top" wrapText="1"/>
    </xf>
    <xf borderId="11" fillId="0" fontId="29" numFmtId="0" xfId="0" applyAlignment="1" applyBorder="1" applyFont="1">
      <alignment readingOrder="0" shrinkToFit="0" vertical="top" wrapText="1"/>
    </xf>
    <xf borderId="12" fillId="0" fontId="29" numFmtId="0" xfId="0" applyAlignment="1" applyBorder="1" applyFont="1">
      <alignment readingOrder="0" shrinkToFit="0" vertical="top" wrapText="1"/>
    </xf>
    <xf borderId="14" fillId="6" fontId="7" numFmtId="164" xfId="0" applyAlignment="1" applyBorder="1" applyFont="1" applyNumberFormat="1">
      <alignment vertical="top"/>
    </xf>
    <xf borderId="17" fillId="0" fontId="8" numFmtId="0" xfId="0" applyAlignment="1" applyBorder="1" applyFont="1">
      <alignment horizontal="center" readingOrder="0" vertical="top"/>
    </xf>
    <xf borderId="18" fillId="0" fontId="8" numFmtId="0" xfId="0" applyAlignment="1" applyBorder="1" applyFont="1">
      <alignment horizontal="center" readingOrder="0" vertical="top"/>
    </xf>
    <xf borderId="19" fillId="0" fontId="256" numFmtId="0" xfId="0" applyAlignment="1" applyBorder="1" applyFont="1">
      <alignment readingOrder="0" vertical="top"/>
    </xf>
    <xf borderId="12" fillId="0" fontId="29" numFmtId="164" xfId="0" applyAlignment="1" applyBorder="1" applyFont="1" applyNumberFormat="1">
      <alignment horizontal="left" readingOrder="0" vertical="top"/>
    </xf>
  </cellXfs>
  <cellStyles count="1">
    <cellStyle xfId="0" name="Normal" builtinId="0"/>
  </cellStyles>
  <dxfs count="1">
    <dxf>
      <font/>
      <fill>
        <patternFill patternType="solid">
          <fgColor rgb="FFD9EAD3"/>
          <bgColor rgb="FFD9EAD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8.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0</xdr:row>
      <xdr:rowOff>0</xdr:rowOff>
    </xdr:from>
    <xdr:ext cx="333375" cy="3333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4</xdr:col>
      <xdr:colOff>0</xdr:colOff>
      <xdr:row>24</xdr:row>
      <xdr:rowOff>0</xdr:rowOff>
    </xdr:from>
    <xdr:ext cx="266700" cy="2667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4</xdr:col>
      <xdr:colOff>0</xdr:colOff>
      <xdr:row>43</xdr:row>
      <xdr:rowOff>0</xdr:rowOff>
    </xdr:from>
    <xdr:ext cx="200025"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0</xdr:row>
      <xdr:rowOff>0</xdr:rowOff>
    </xdr:from>
    <xdr:ext cx="200025"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0</xdr:row>
      <xdr:rowOff>0</xdr:rowOff>
    </xdr:from>
    <xdr:ext cx="333375" cy="3333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15</xdr:col>
      <xdr:colOff>0</xdr:colOff>
      <xdr:row>0</xdr:row>
      <xdr:rowOff>0</xdr:rowOff>
    </xdr:from>
    <xdr:ext cx="447675" cy="4476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15</xdr:col>
      <xdr:colOff>0</xdr:colOff>
      <xdr:row>0</xdr:row>
      <xdr:rowOff>0</xdr:rowOff>
    </xdr:from>
    <xdr:ext cx="447675" cy="4476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0</xdr:colOff>
      <xdr:row>0</xdr:row>
      <xdr:rowOff>0</xdr:rowOff>
    </xdr:from>
    <xdr:ext cx="447675" cy="4476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16</xdr:col>
      <xdr:colOff>0</xdr:colOff>
      <xdr:row>7</xdr:row>
      <xdr:rowOff>0</xdr:rowOff>
    </xdr:from>
    <xdr:ext cx="200025"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15</xdr:col>
      <xdr:colOff>0</xdr:colOff>
      <xdr:row>0</xdr:row>
      <xdr:rowOff>0</xdr:rowOff>
    </xdr:from>
    <xdr:ext cx="447675" cy="4476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40" Type="http://schemas.openxmlformats.org/officeDocument/2006/relationships/hyperlink" Target="https://www.google.com/url?q=https://docs.google.com/document/d/1DeKB6OC4p1cPyan5Yy62oUI1VgjnVNSxAqr95SflCFY/edit?usp%3Dsharing&amp;sa=D&amp;ust=1585248562748000&amp;usg=AFQjCNHg1nRf4tJOKZB0ZL61HygarvCE-Q" TargetMode="External"/><Relationship Id="rId42" Type="http://schemas.openxmlformats.org/officeDocument/2006/relationships/hyperlink" Target="https://www.google.com/url?q=https://docs.google.com/document/d/1DeKB6OC4p1cPyan5Yy62oUI1VgjnVNSxAqr95SflCFY/edit?usp%3Dsharing&amp;sa=D&amp;ust=1585248562748000&amp;usg=AFQjCNHg1nRf4tJOKZB0ZL61HygarvCE-Q" TargetMode="External"/><Relationship Id="rId41" Type="http://schemas.openxmlformats.org/officeDocument/2006/relationships/hyperlink" Target="https://nam01.safelinks.protection.outlook.com/ap/t-59584e83/?url=https%3A%2F%2Fteams.microsoft.com%2Fl%2Fmeetup-join%2F19%253ameeting_NDFmMDFkNDktMmE1MC00ZTA2LTk2OGUtNGNjMmNkMTViOTE0%2540thread.v2%2F0%3Fcontext%3D%257b%2522Tid%2522%253a%252272f988bf-86f1-41af-91ab-2d7cd011db47%2522%252c%2522Oid%2522%253a%25228ea22583-eedd-4a6f-9227-f17598f3b765%2522%257d&amp;data=02%7C01%7CRemotelearning%40schools.nyc.gov%7Cb6c810394cf545c7798e08d7cbfd2c77%7C18492cb7ef45456185710c42e5f7ac07%7C0%7C0%7C637202160537264714&amp;sdata=xZNpAxhqsoo4Unk%2FUqIrvn%2BLBIJXtOMzVVnwVFyjQcM%3D&amp;reserved=0" TargetMode="External"/><Relationship Id="rId44"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43"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46" Type="http://schemas.openxmlformats.org/officeDocument/2006/relationships/hyperlink" Target="https://otis.teq.com/users/register/" TargetMode="External"/><Relationship Id="rId45" Type="http://schemas.openxmlformats.org/officeDocument/2006/relationships/hyperlink" Target="https://otis.teq.com/events/view/14401" TargetMode="External"/><Relationship Id="rId1" Type="http://schemas.openxmlformats.org/officeDocument/2006/relationships/hyperlink" Target="https://teams.microsoft.com/l/meetup-join/19%3ad8ff77c2e2d5476bbcde9fe502289901%40thread.skype/1584904522677?context=%7b%22Tid%22%3a%2218492cb7-ef45-4561-8571-0c42e5f7ac07%22%2c%22Oid%22%3a%2223887be3-a68f-4f4a-baba-98ea4e2f07bb%22%7d" TargetMode="External"/><Relationship Id="rId2" Type="http://schemas.openxmlformats.org/officeDocument/2006/relationships/hyperlink" Target="https://d75stem.d75edu.com/" TargetMode="External"/><Relationship Id="rId3" Type="http://schemas.openxmlformats.org/officeDocument/2006/relationships/hyperlink" Target="https://d75stem.d75edu.com/" TargetMode="External"/><Relationship Id="rId4"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9" Type="http://schemas.openxmlformats.org/officeDocument/2006/relationships/hyperlink" Target="https://www.google.com/url?q=https://docs.google.com/document/d/1DeKB6OC4p1cPyan5Yy62oUI1VgjnVNSxAqr95SflCFY/edit?usp%3Dsharing&amp;sa=D&amp;ust=1585248562748000&amp;usg=AFQjCNHg1nRf4tJOKZB0ZL61HygarvCE-Q" TargetMode="External"/><Relationship Id="rId48" Type="http://schemas.openxmlformats.org/officeDocument/2006/relationships/hyperlink" Target="https://otis.teq.com/users/register/" TargetMode="External"/><Relationship Id="rId47" Type="http://schemas.openxmlformats.org/officeDocument/2006/relationships/hyperlink" Target="https://otis.teq.com/events/view/14403" TargetMode="External"/><Relationship Id="rId49" Type="http://schemas.openxmlformats.org/officeDocument/2006/relationships/hyperlink" Target="https://otis.teq.com/events/view/14404" TargetMode="External"/><Relationship Id="rId5" Type="http://schemas.openxmlformats.org/officeDocument/2006/relationships/hyperlink" Target="https://d75stem.d75edu.com/" TargetMode="External"/><Relationship Id="rId6" Type="http://schemas.openxmlformats.org/officeDocument/2006/relationships/hyperlink" Target="https://twitter.com/seanmarnold" TargetMode="External"/><Relationship Id="rId7"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8" Type="http://schemas.openxmlformats.org/officeDocument/2006/relationships/hyperlink" Target="https://d75stem.d75edu.com/" TargetMode="External"/><Relationship Id="rId31"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30" Type="http://schemas.openxmlformats.org/officeDocument/2006/relationships/hyperlink" Target="https://d75stem.d75edu.com/" TargetMode="External"/><Relationship Id="rId33" Type="http://schemas.openxmlformats.org/officeDocument/2006/relationships/hyperlink" Target="https://d75stem.d75edu.com/" TargetMode="External"/><Relationship Id="rId32" Type="http://schemas.openxmlformats.org/officeDocument/2006/relationships/hyperlink" Target="https://us04web.zoom.us/j/662487347" TargetMode="External"/><Relationship Id="rId35" Type="http://schemas.openxmlformats.org/officeDocument/2006/relationships/hyperlink" Target="https://nam01.safelinks.protection.outlook.com/ap/t-59584e83/?url=https%3A%2F%2Fteams.microsoft.com%2Fl%2Fmeetup-join%2F19%253ameeting_NmRiMGYzYTQtMTYwNS00NjkzLTk2ZTgtNGFjNGQ4ZTQ0M2Zi%2540thread.v2%2F0%3Fcontext%3D%257b%2522Tid%2522%253a%252272f988bf-86f1-41af-91ab-2d7cd011db47%2522%252c%2522Oid%2522%253a%25229d3e23ee-9154-4209-b172-1adeb5b6bddd%2522%257d&amp;data=02%7C01%7CRemotelearning%40schools.nyc.gov%7Cb6c810394cf545c7798e08d7cbfd2c77%7C18492cb7ef45456185710c42e5f7ac07%7C0%7C0%7C637202160537234730&amp;sdata=i1QNsgCWjZrxgLcb8p6I3M2grG%2FNHotcTTDQslsQpNo%3D&amp;reserved=0" TargetMode="External"/><Relationship Id="rId34" Type="http://schemas.openxmlformats.org/officeDocument/2006/relationships/hyperlink" Target="https://twitter.com/seanmarnold" TargetMode="External"/><Relationship Id="rId37" Type="http://schemas.openxmlformats.org/officeDocument/2006/relationships/hyperlink" Target="https://nam01.safelinks.protection.outlook.com/ap/t-59584e83/?url=https%3A%2F%2Fteams.microsoft.com%2Fl%2Fmeetup-join%2F19%253ameeting_NDFmMDFkNDktMmE1MC00ZTA2LTk2OGUtNGNjMmNkMTViOTE0%2540thread.v2%2F0%3Fcontext%3D%257b%2522Tid%2522%253a%252272f988bf-86f1-41af-91ab-2d7cd011db47%2522%252c%2522Oid%2522%253a%25228ea22583-eedd-4a6f-9227-f17598f3b765%2522%257d&amp;data=02%7C01%7CRemotelearning%40schools.nyc.gov%7Cb6c810394cf545c7798e08d7cbfd2c77%7C18492cb7ef45456185710c42e5f7ac07%7C0%7C0%7C637202160537264714&amp;sdata=xZNpAxhqsoo4Unk%2FUqIrvn%2BLBIJXtOMzVVnwVFyjQcM%3D&amp;reserved=0" TargetMode="External"/><Relationship Id="rId36" Type="http://schemas.openxmlformats.org/officeDocument/2006/relationships/hyperlink" Target="https://www.google.com/url?q=https://docs.google.com/document/d/1DeKB6OC4p1cPyan5Yy62oUI1VgjnVNSxAqr95SflCFY/edit?usp%3Dsharing&amp;sa=D&amp;ust=1585248562748000&amp;usg=AFQjCNHg1nRf4tJOKZB0ZL61HygarvCE-Q" TargetMode="External"/><Relationship Id="rId39" Type="http://schemas.openxmlformats.org/officeDocument/2006/relationships/hyperlink" Target="https://nam01.safelinks.protection.outlook.com/ap/t-59584e83/?url=https%3A%2F%2Fteams.microsoft.com%2Fl%2Fmeetup-join%2F19%253ameeting_NmRiMGYzYTQtMTYwNS00NjkzLTk2ZTgtNGFjNGQ4ZTQ0M2Zi%2540thread.v2%2F0%3Fcontext%3D%257b%2522Tid%2522%253a%252272f988bf-86f1-41af-91ab-2d7cd011db47%2522%252c%2522Oid%2522%253a%25229d3e23ee-9154-4209-b172-1adeb5b6bddd%2522%257d&amp;data=02%7C01%7CRemotelearning%40schools.nyc.gov%7Cb6c810394cf545c7798e08d7cbfd2c77%7C18492cb7ef45456185710c42e5f7ac07%7C0%7C0%7C637202160537234730&amp;sdata=i1QNsgCWjZrxgLcb8p6I3M2grG%2FNHotcTTDQslsQpNo%3D&amp;reserved=0" TargetMode="External"/><Relationship Id="rId38" Type="http://schemas.openxmlformats.org/officeDocument/2006/relationships/hyperlink" Target="https://www.google.com/url?q=https://docs.google.com/document/d/1DeKB6OC4p1cPyan5Yy62oUI1VgjnVNSxAqr95SflCFY/edit?usp%3Dsharing&amp;sa=D&amp;ust=1585248562748000&amp;usg=AFQjCNHg1nRf4tJOKZB0ZL61HygarvCE-Q" TargetMode="External"/><Relationship Id="rId20"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22" Type="http://schemas.openxmlformats.org/officeDocument/2006/relationships/hyperlink" Target="https://www.google.com/url?q=https://docs.google.com/document/d/1DeKB6OC4p1cPyan5Yy62oUI1VgjnVNSxAqr95SflCFY/edit?usp%3Dsharing&amp;sa=D&amp;ust=1585248562748000&amp;usg=AFQjCNHg1nRf4tJOKZB0ZL61HygarvCE-Q" TargetMode="External"/><Relationship Id="rId21" Type="http://schemas.openxmlformats.org/officeDocument/2006/relationships/hyperlink" Target="https://www.google.com/url?q=https://docs.google.com/document/d/1DeKB6OC4p1cPyan5Yy62oUI1VgjnVNSxAqr95SflCFY/edit?usp%3Dsharing&amp;sa=D&amp;ust=1585248562748000&amp;usg=AFQjCNHg1nRf4tJOKZB0ZL61HygarvCE-Q" TargetMode="External"/><Relationship Id="rId24" Type="http://schemas.openxmlformats.org/officeDocument/2006/relationships/hyperlink" Target="https://d75stem.d75edu.com/" TargetMode="External"/><Relationship Id="rId23" Type="http://schemas.openxmlformats.org/officeDocument/2006/relationships/hyperlink" Target="https://teams.microsoft.com/l/meetup-join/19%3ad8ff77c2e2d5476bbcde9fe502289901%40thread.skype/1584904522677?context=%7b%22Tid%22%3a%2218492cb7-ef45-4561-8571-0c42e5f7ac07%22%2c%22Oid%22%3a%2223887be3-a68f-4f4a-baba-98ea4e2f07bb%22%7d" TargetMode="External"/><Relationship Id="rId26"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25" Type="http://schemas.openxmlformats.org/officeDocument/2006/relationships/hyperlink" Target="https://d75stem.d75edu.com/" TargetMode="External"/><Relationship Id="rId28" Type="http://schemas.openxmlformats.org/officeDocument/2006/relationships/hyperlink" Target="https://d75stem.d75edu.com/" TargetMode="External"/><Relationship Id="rId27" Type="http://schemas.openxmlformats.org/officeDocument/2006/relationships/hyperlink" Target="https://us04web.zoom.us/j/216974476" TargetMode="External"/><Relationship Id="rId29" Type="http://schemas.openxmlformats.org/officeDocument/2006/relationships/hyperlink" Target="https://twitter.com/seanmarnold" TargetMode="External"/><Relationship Id="rId51" Type="http://schemas.openxmlformats.org/officeDocument/2006/relationships/hyperlink" Target="https://otis.teq.com/events/view/14421" TargetMode="External"/><Relationship Id="rId50" Type="http://schemas.openxmlformats.org/officeDocument/2006/relationships/hyperlink" Target="https://otis.teq.com/users/register/" TargetMode="External"/><Relationship Id="rId53" Type="http://schemas.openxmlformats.org/officeDocument/2006/relationships/hyperlink" Target="https://otis.teq.com/events/view/14377" TargetMode="External"/><Relationship Id="rId52" Type="http://schemas.openxmlformats.org/officeDocument/2006/relationships/hyperlink" Target="https://otis.teq.com/users/register/" TargetMode="External"/><Relationship Id="rId11" Type="http://schemas.openxmlformats.org/officeDocument/2006/relationships/hyperlink" Target="https://us04web.zoom.us/j/226177605" TargetMode="External"/><Relationship Id="rId55" Type="http://schemas.openxmlformats.org/officeDocument/2006/relationships/hyperlink" Target="https://otis.teq.com/events/view/14370" TargetMode="External"/><Relationship Id="rId10" Type="http://schemas.openxmlformats.org/officeDocument/2006/relationships/hyperlink" Target="https://www.google.com/url?q=https://docs.google.com/document/d/1DeKB6OC4p1cPyan5Yy62oUI1VgjnVNSxAqr95SflCFY/edit?usp%3Dsharing&amp;sa=D&amp;ust=1585248562748000&amp;usg=AFQjCNHg1nRf4tJOKZB0ZL61HygarvCE-Q" TargetMode="External"/><Relationship Id="rId54" Type="http://schemas.openxmlformats.org/officeDocument/2006/relationships/hyperlink" Target="https://otis.teq.com/users/register/" TargetMode="External"/><Relationship Id="rId13" Type="http://schemas.openxmlformats.org/officeDocument/2006/relationships/hyperlink" Target="https://us04web.zoom.us/j/662487347" TargetMode="External"/><Relationship Id="rId57" Type="http://schemas.openxmlformats.org/officeDocument/2006/relationships/hyperlink" Target="https://otis.teq.com/events/view/14420" TargetMode="External"/><Relationship Id="rId12" Type="http://schemas.openxmlformats.org/officeDocument/2006/relationships/hyperlink" Target="https://d75stem.d75edu.com/" TargetMode="External"/><Relationship Id="rId56" Type="http://schemas.openxmlformats.org/officeDocument/2006/relationships/hyperlink" Target="https://otis.teq.com/users/register/" TargetMode="External"/><Relationship Id="rId15" Type="http://schemas.openxmlformats.org/officeDocument/2006/relationships/hyperlink" Target="https://twitter.com/seanmarnold" TargetMode="External"/><Relationship Id="rId59" Type="http://schemas.openxmlformats.org/officeDocument/2006/relationships/drawing" Target="../drawings/drawing1.xml"/><Relationship Id="rId14" Type="http://schemas.openxmlformats.org/officeDocument/2006/relationships/hyperlink" Target="https://d75stem.d75edu.com/" TargetMode="External"/><Relationship Id="rId58" Type="http://schemas.openxmlformats.org/officeDocument/2006/relationships/hyperlink" Target="https://otis.teq.com/users/register/" TargetMode="External"/><Relationship Id="rId17"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16" Type="http://schemas.openxmlformats.org/officeDocument/2006/relationships/hyperlink" Target="https://www.google.com/url?q=https://docs.google.com/document/d/1DeKB6OC4p1cPyan5Yy62oUI1VgjnVNSxAqr95SflCFY/edit?usp%3Dsharing&amp;sa=D&amp;ust=1585248562748000&amp;usg=AFQjCNHg1nRf4tJOKZB0ZL61HygarvCE-Q" TargetMode="External"/><Relationship Id="rId19" Type="http://schemas.openxmlformats.org/officeDocument/2006/relationships/hyperlink" Target="https://www.google.com/url?q=https://docs.google.com/document/d/1DeKB6OC4p1cPyan5Yy62oUI1VgjnVNSxAqr95SflCFY/edit?usp%3Dsharing&amp;sa=D&amp;ust=1585248562748000&amp;usg=AFQjCNHg1nRf4tJOKZB0ZL61HygarvCE-Q" TargetMode="External"/><Relationship Id="rId18" Type="http://schemas.openxmlformats.org/officeDocument/2006/relationships/hyperlink" Target="https://www.google.com/url?q=https://docs.google.com/document/d/1DeKB6OC4p1cPyan5Yy62oUI1VgjnVNSxAqr95SflCFY/edit?usp%3Dsharing&amp;sa=D&amp;ust=1585248562748000&amp;usg=AFQjCNHg1nRf4tJOKZB0ZL61HygarvCE-Q" TargetMode="External"/></Relationships>
</file>

<file path=xl/worksheets/_rels/sheet10.xml.rels><?xml version="1.0" encoding="UTF-8" standalone="yes"?><Relationships xmlns="http://schemas.openxmlformats.org/package/2006/relationships"><Relationship Id="rId20" Type="http://schemas.openxmlformats.org/officeDocument/2006/relationships/hyperlink" Target="https://www.makerbot.com/" TargetMode="External"/><Relationship Id="rId22" Type="http://schemas.openxmlformats.org/officeDocument/2006/relationships/hyperlink" Target="http://www.teq.com/" TargetMode="External"/><Relationship Id="rId21" Type="http://schemas.openxmlformats.org/officeDocument/2006/relationships/hyperlink" Target="https://www.eventbrite.com/e/smart-learning-suite-basics-and-smart-iq-tickets-37819475068" TargetMode="External"/><Relationship Id="rId24" Type="http://schemas.openxmlformats.org/officeDocument/2006/relationships/hyperlink" Target="http://conta.cc/2hhvvr9" TargetMode="External"/><Relationship Id="rId23" Type="http://schemas.openxmlformats.org/officeDocument/2006/relationships/hyperlink" Target="http://www.teq.com/" TargetMode="External"/><Relationship Id="rId26" Type="http://schemas.openxmlformats.org/officeDocument/2006/relationships/hyperlink" Target="http://www.schooltechnologysummit.com/" TargetMode="External"/><Relationship Id="rId25" Type="http://schemas.openxmlformats.org/officeDocument/2006/relationships/hyperlink" Target="https://www.makerbot.com/" TargetMode="External"/><Relationship Id="rId28" Type="http://schemas.openxmlformats.org/officeDocument/2006/relationships/drawing" Target="../drawings/drawing10.xml"/><Relationship Id="rId27" Type="http://schemas.openxmlformats.org/officeDocument/2006/relationships/hyperlink" Target="http://www.schooltechnologysummit.com/schedule" TargetMode="External"/><Relationship Id="rId11" Type="http://schemas.openxmlformats.org/officeDocument/2006/relationships/hyperlink" Target="http://www.teq.com/" TargetMode="External"/><Relationship Id="rId10" Type="http://schemas.openxmlformats.org/officeDocument/2006/relationships/hyperlink" Target="http://www.teq.com/" TargetMode="External"/><Relationship Id="rId13" Type="http://schemas.openxmlformats.org/officeDocument/2006/relationships/hyperlink" Target="http://www.teq.com/" TargetMode="External"/><Relationship Id="rId12" Type="http://schemas.openxmlformats.org/officeDocument/2006/relationships/hyperlink" Target="http://www.teq.com/" TargetMode="External"/><Relationship Id="rId15" Type="http://schemas.openxmlformats.org/officeDocument/2006/relationships/hyperlink" Target="https://www.makerbot.com/" TargetMode="External"/><Relationship Id="rId14" Type="http://schemas.openxmlformats.org/officeDocument/2006/relationships/hyperlink" Target="http://conta.cc/2hhv68c" TargetMode="External"/><Relationship Id="rId17" Type="http://schemas.openxmlformats.org/officeDocument/2006/relationships/hyperlink" Target="http://www.teq.com/" TargetMode="External"/><Relationship Id="rId16" Type="http://schemas.openxmlformats.org/officeDocument/2006/relationships/hyperlink" Target="http://www.teq.com/" TargetMode="External"/><Relationship Id="rId19" Type="http://schemas.openxmlformats.org/officeDocument/2006/relationships/hyperlink" Target="http://conta.cc/2hgW7c5" TargetMode="External"/><Relationship Id="rId18" Type="http://schemas.openxmlformats.org/officeDocument/2006/relationships/hyperlink" Target="https://www.makerbot.com/" TargetMode="External"/><Relationship Id="rId1" Type="http://schemas.openxmlformats.org/officeDocument/2006/relationships/hyperlink" Target="https://try.prometheanworld.com/foundationsoursenyc/" TargetMode="External"/><Relationship Id="rId2" Type="http://schemas.openxmlformats.org/officeDocument/2006/relationships/hyperlink" Target="http://www.teq.com/" TargetMode="External"/><Relationship Id="rId3" Type="http://schemas.openxmlformats.org/officeDocument/2006/relationships/hyperlink" Target="http://www.teq.com/" TargetMode="External"/><Relationship Id="rId4" Type="http://schemas.openxmlformats.org/officeDocument/2006/relationships/hyperlink" Target="http://www.teq.com/" TargetMode="External"/><Relationship Id="rId9" Type="http://schemas.openxmlformats.org/officeDocument/2006/relationships/hyperlink" Target="https://www.makerbot.com/" TargetMode="External"/><Relationship Id="rId5" Type="http://schemas.openxmlformats.org/officeDocument/2006/relationships/hyperlink" Target="http://www.teq.com/" TargetMode="External"/><Relationship Id="rId6" Type="http://schemas.openxmlformats.org/officeDocument/2006/relationships/hyperlink" Target="http://www.teq.com/" TargetMode="External"/><Relationship Id="rId7" Type="http://schemas.openxmlformats.org/officeDocument/2006/relationships/hyperlink" Target="http://www.teq.com/" TargetMode="External"/><Relationship Id="rId8" Type="http://schemas.openxmlformats.org/officeDocument/2006/relationships/hyperlink" Target="http://conta.cc/2hgXabS"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0" Type="http://schemas.openxmlformats.org/officeDocument/2006/relationships/hyperlink" Target="http://techplanning.net" TargetMode="External"/><Relationship Id="rId22" Type="http://schemas.openxmlformats.org/officeDocument/2006/relationships/hyperlink" Target="http://techplanning.net" TargetMode="External"/><Relationship Id="rId21" Type="http://schemas.openxmlformats.org/officeDocument/2006/relationships/hyperlink" Target="http://techplanning.net" TargetMode="External"/><Relationship Id="rId23" Type="http://schemas.openxmlformats.org/officeDocument/2006/relationships/drawing" Target="../drawings/drawing12.xml"/><Relationship Id="rId11" Type="http://schemas.openxmlformats.org/officeDocument/2006/relationships/hyperlink" Target="http://ilearnnyc.wikispaces.com/iLearnNYC+Innovation+Institute+2015" TargetMode="External"/><Relationship Id="rId10" Type="http://schemas.openxmlformats.org/officeDocument/2006/relationships/hyperlink" Target="http://code.org" TargetMode="External"/><Relationship Id="rId13" Type="http://schemas.openxmlformats.org/officeDocument/2006/relationships/hyperlink" Target="http://code.org/professional-development-workshops/4951756" TargetMode="External"/><Relationship Id="rId12" Type="http://schemas.openxmlformats.org/officeDocument/2006/relationships/hyperlink" Target="http://microcert.eventzilla.net/web/event?eventid=2139093651" TargetMode="External"/><Relationship Id="rId15" Type="http://schemas.openxmlformats.org/officeDocument/2006/relationships/hyperlink" Target="http://code.org" TargetMode="External"/><Relationship Id="rId14" Type="http://schemas.openxmlformats.org/officeDocument/2006/relationships/hyperlink" Target="http://code.org" TargetMode="External"/><Relationship Id="rId17" Type="http://schemas.openxmlformats.org/officeDocument/2006/relationships/hyperlink" Target="http://code.org" TargetMode="External"/><Relationship Id="rId16" Type="http://schemas.openxmlformats.org/officeDocument/2006/relationships/hyperlink" Target="http://code.org" TargetMode="External"/><Relationship Id="rId19" Type="http://schemas.openxmlformats.org/officeDocument/2006/relationships/hyperlink" Target="http://techplanning.net" TargetMode="External"/><Relationship Id="rId18" Type="http://schemas.openxmlformats.org/officeDocument/2006/relationships/hyperlink" Target="http://code.org" TargetMode="External"/><Relationship Id="rId1" Type="http://schemas.openxmlformats.org/officeDocument/2006/relationships/hyperlink" Target="http://code.org/professional-development-workshops/4940108" TargetMode="External"/><Relationship Id="rId2" Type="http://schemas.openxmlformats.org/officeDocument/2006/relationships/hyperlink" Target="http://code.org" TargetMode="External"/><Relationship Id="rId3" Type="http://schemas.openxmlformats.org/officeDocument/2006/relationships/hyperlink" Target="http://www.metmuseum.org/events/programs/met-celebrates/festivals-and-special-programs/metkids-launch-party" TargetMode="External"/><Relationship Id="rId4" Type="http://schemas.openxmlformats.org/officeDocument/2006/relationships/hyperlink" Target="https://edseminars.apple.com/event/4Z56S-99VU9" TargetMode="External"/><Relationship Id="rId9" Type="http://schemas.openxmlformats.org/officeDocument/2006/relationships/hyperlink" Target="http://code.org/professional-development-workshops/4951755" TargetMode="External"/><Relationship Id="rId5" Type="http://schemas.openxmlformats.org/officeDocument/2006/relationships/hyperlink" Target="https://edseminars.apple.com/event/y69tW-hQ5u5" TargetMode="External"/><Relationship Id="rId6" Type="http://schemas.openxmlformats.org/officeDocument/2006/relationships/hyperlink" Target="http://microcert.eventzilla.net/web/event?eventid=2139093651" TargetMode="External"/><Relationship Id="rId7" Type="http://schemas.openxmlformats.org/officeDocument/2006/relationships/hyperlink" Target="http://code.org/professional-development-workshops/4958397" TargetMode="External"/><Relationship Id="rId8" Type="http://schemas.openxmlformats.org/officeDocument/2006/relationships/hyperlink" Target="http://code.org"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hyperlink" Target="http://conta.cc/2hgja6O" TargetMode="External"/><Relationship Id="rId2" Type="http://schemas.openxmlformats.org/officeDocument/2006/relationships/hyperlink" Target="https://www.makerbot.com/" TargetMode="External"/><Relationship Id="rId3"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1" Type="http://schemas.openxmlformats.org/officeDocument/2006/relationships/hyperlink" Target="http://s.apple.com/dE0h5r0o6t" TargetMode="External"/><Relationship Id="rId30" Type="http://schemas.openxmlformats.org/officeDocument/2006/relationships/hyperlink" Target="mailto:tbrennan@apple.com" TargetMode="External"/><Relationship Id="rId32" Type="http://schemas.openxmlformats.org/officeDocument/2006/relationships/drawing" Target="../drawings/drawing16.xml"/><Relationship Id="rId20" Type="http://schemas.openxmlformats.org/officeDocument/2006/relationships/hyperlink" Target="http://s.apple.com/dE4x0Z5A1b" TargetMode="External"/><Relationship Id="rId22" Type="http://schemas.openxmlformats.org/officeDocument/2006/relationships/hyperlink" Target="http://s.apple.com/dE3O4r6q2v" TargetMode="External"/><Relationship Id="rId21" Type="http://schemas.openxmlformats.org/officeDocument/2006/relationships/hyperlink" Target="mailto:tbrennan@apple.com" TargetMode="External"/><Relationship Id="rId24" Type="http://schemas.openxmlformats.org/officeDocument/2006/relationships/hyperlink" Target="mailto:tbrennan@apple.com" TargetMode="External"/><Relationship Id="rId23" Type="http://schemas.openxmlformats.org/officeDocument/2006/relationships/hyperlink" Target="http://s.apple.com/dE3O4r6q2v" TargetMode="External"/><Relationship Id="rId26" Type="http://schemas.openxmlformats.org/officeDocument/2006/relationships/hyperlink" Target="http://s.apple.com/dE0R1r0q4X" TargetMode="External"/><Relationship Id="rId25" Type="http://schemas.openxmlformats.org/officeDocument/2006/relationships/hyperlink" Target="http://s.apple.com/dE0R1r0q4X" TargetMode="External"/><Relationship Id="rId28" Type="http://schemas.openxmlformats.org/officeDocument/2006/relationships/hyperlink" Target="http://s.apple.com/dE4B1T8d0L" TargetMode="External"/><Relationship Id="rId27" Type="http://schemas.openxmlformats.org/officeDocument/2006/relationships/hyperlink" Target="mailto:tbrennan@apple.com" TargetMode="External"/><Relationship Id="rId29" Type="http://schemas.openxmlformats.org/officeDocument/2006/relationships/hyperlink" Target="http://s.apple.com/dE4B1T8d0L" TargetMode="External"/><Relationship Id="rId11" Type="http://schemas.openxmlformats.org/officeDocument/2006/relationships/hyperlink" Target="http://s.apple.com/dE3h6U9x7n" TargetMode="External"/><Relationship Id="rId10" Type="http://schemas.openxmlformats.org/officeDocument/2006/relationships/hyperlink" Target="http://s.apple.com/dE4n4T4d7L" TargetMode="External"/><Relationship Id="rId13" Type="http://schemas.openxmlformats.org/officeDocument/2006/relationships/hyperlink" Target="mailto:tbrennan@apple.com" TargetMode="External"/><Relationship Id="rId12" Type="http://schemas.openxmlformats.org/officeDocument/2006/relationships/hyperlink" Target="mailto:tbrennan@apple.com" TargetMode="External"/><Relationship Id="rId15" Type="http://schemas.openxmlformats.org/officeDocument/2006/relationships/hyperlink" Target="http://s.apple.com/dE0R1r6i2Y" TargetMode="External"/><Relationship Id="rId14" Type="http://schemas.openxmlformats.org/officeDocument/2006/relationships/hyperlink" Target="mailto:tbrennan@apple.com" TargetMode="External"/><Relationship Id="rId17" Type="http://schemas.openxmlformats.org/officeDocument/2006/relationships/hyperlink" Target="http://s.apple.com/dE4a3r6n3K" TargetMode="External"/><Relationship Id="rId16" Type="http://schemas.openxmlformats.org/officeDocument/2006/relationships/hyperlink" Target="mailto:onlinepd@teq.com" TargetMode="External"/><Relationship Id="rId19" Type="http://schemas.openxmlformats.org/officeDocument/2006/relationships/hyperlink" Target="http://s.apple.com/dE4x0Z5A1b" TargetMode="External"/><Relationship Id="rId18" Type="http://schemas.openxmlformats.org/officeDocument/2006/relationships/hyperlink" Target="mailto:tbrennan@apple.com" TargetMode="External"/><Relationship Id="rId1" Type="http://schemas.openxmlformats.org/officeDocument/2006/relationships/hyperlink" Target="mailto:tbrennan@apple.com" TargetMode="External"/><Relationship Id="rId2" Type="http://schemas.openxmlformats.org/officeDocument/2006/relationships/hyperlink" Target="mailto:tbrennan@apple.com" TargetMode="External"/><Relationship Id="rId3" Type="http://schemas.openxmlformats.org/officeDocument/2006/relationships/hyperlink" Target="mailto:tbrennan@apple.com" TargetMode="External"/><Relationship Id="rId4" Type="http://schemas.openxmlformats.org/officeDocument/2006/relationships/hyperlink" Target="http://s.apple.com/dE4n3d3H6n" TargetMode="External"/><Relationship Id="rId9" Type="http://schemas.openxmlformats.org/officeDocument/2006/relationships/hyperlink" Target="http://s.apple.com/dE0c9U3g2X" TargetMode="External"/><Relationship Id="rId5" Type="http://schemas.openxmlformats.org/officeDocument/2006/relationships/hyperlink" Target="http://s.apple.com/dE4n3d3H6n" TargetMode="External"/><Relationship Id="rId6" Type="http://schemas.openxmlformats.org/officeDocument/2006/relationships/hyperlink" Target="mailto:tbrennan@apple.com" TargetMode="External"/><Relationship Id="rId7" Type="http://schemas.openxmlformats.org/officeDocument/2006/relationships/hyperlink" Target="mailto:jsanfilippo@teq.com" TargetMode="External"/><Relationship Id="rId8" Type="http://schemas.openxmlformats.org/officeDocument/2006/relationships/hyperlink" Target="mailto:tbrennan@apple.com" TargetMode="External"/></Relationships>
</file>

<file path=xl/worksheets/_rels/sheet17.xml.rels><?xml version="1.0" encoding="UTF-8" standalone="yes"?><Relationships xmlns="http://schemas.openxmlformats.org/package/2006/relationships"><Relationship Id="rId40" Type="http://schemas.openxmlformats.org/officeDocument/2006/relationships/hyperlink" Target="https://bit.ly/2IhKkpB" TargetMode="External"/><Relationship Id="rId42" Type="http://schemas.openxmlformats.org/officeDocument/2006/relationships/hyperlink" Target="https://bit.ly/2IkuIBX" TargetMode="External"/><Relationship Id="rId41" Type="http://schemas.openxmlformats.org/officeDocument/2006/relationships/hyperlink" Target="mailto:tbrennan@apple.com" TargetMode="External"/><Relationship Id="rId44" Type="http://schemas.openxmlformats.org/officeDocument/2006/relationships/hyperlink" Target="mailto:tbrennan@apple.com" TargetMode="External"/><Relationship Id="rId43" Type="http://schemas.openxmlformats.org/officeDocument/2006/relationships/hyperlink" Target="https://bit.ly/2IkuIBX" TargetMode="External"/><Relationship Id="rId46" Type="http://schemas.openxmlformats.org/officeDocument/2006/relationships/hyperlink" Target="https://bit.ly/2OU0nLx" TargetMode="External"/><Relationship Id="rId45" Type="http://schemas.openxmlformats.org/officeDocument/2006/relationships/hyperlink" Target="https://bit.ly/2OU0nLx" TargetMode="External"/><Relationship Id="rId48" Type="http://schemas.openxmlformats.org/officeDocument/2006/relationships/hyperlink" Target="http://tinyurl.com/y6eqdlyw" TargetMode="External"/><Relationship Id="rId47" Type="http://schemas.openxmlformats.org/officeDocument/2006/relationships/hyperlink" Target="mailto:tbrennan@apple.com" TargetMode="External"/><Relationship Id="rId49" Type="http://schemas.openxmlformats.org/officeDocument/2006/relationships/hyperlink" Target="http://tinyurl.com/y6eqdlyw" TargetMode="External"/><Relationship Id="rId31" Type="http://schemas.openxmlformats.org/officeDocument/2006/relationships/hyperlink" Target="https://bit.ly/2UhkNEo" TargetMode="External"/><Relationship Id="rId30" Type="http://schemas.openxmlformats.org/officeDocument/2006/relationships/hyperlink" Target="https://bit.ly/2UhkNEo" TargetMode="External"/><Relationship Id="rId33" Type="http://schemas.openxmlformats.org/officeDocument/2006/relationships/hyperlink" Target="https://jamf.webex.com/jamf/k2/j.php?MTID=tdfc4d68211aaf55aa28e09fc0d8e5644" TargetMode="External"/><Relationship Id="rId32" Type="http://schemas.openxmlformats.org/officeDocument/2006/relationships/hyperlink" Target="mailto:tbrennan@apple.com" TargetMode="External"/><Relationship Id="rId35" Type="http://schemas.openxmlformats.org/officeDocument/2006/relationships/hyperlink" Target="mailto:tbrennan@apple.com" TargetMode="External"/><Relationship Id="rId34" Type="http://schemas.openxmlformats.org/officeDocument/2006/relationships/hyperlink" Target="https://jamf.webex.com/jamf/k2/j.php?MTID=tdfc4d68211aaf55aa28e09fc0d8e5644" TargetMode="External"/><Relationship Id="rId37" Type="http://schemas.openxmlformats.org/officeDocument/2006/relationships/hyperlink" Target="https://jamf.webex.com/jamf/k2/j.php?MTID=tb7466fb0504989f12cfc299031cdb9a8" TargetMode="External"/><Relationship Id="rId36" Type="http://schemas.openxmlformats.org/officeDocument/2006/relationships/hyperlink" Target="https://jamf.webex.com/jamf/k2/j.php?MTID=tb7466fb0504989f12cfc299031cdb9a8" TargetMode="External"/><Relationship Id="rId39" Type="http://schemas.openxmlformats.org/officeDocument/2006/relationships/hyperlink" Target="https://bit.ly/2IhKkpB" TargetMode="External"/><Relationship Id="rId38" Type="http://schemas.openxmlformats.org/officeDocument/2006/relationships/hyperlink" Target="mailto:tbrennan@apple.com" TargetMode="External"/><Relationship Id="rId20" Type="http://schemas.openxmlformats.org/officeDocument/2006/relationships/hyperlink" Target="http://s.apple.com/dE4W5p0R4i" TargetMode="External"/><Relationship Id="rId22" Type="http://schemas.openxmlformats.org/officeDocument/2006/relationships/hyperlink" Target="mailto:tbrennan@apple.com" TargetMode="External"/><Relationship Id="rId21" Type="http://schemas.openxmlformats.org/officeDocument/2006/relationships/hyperlink" Target="http://s.apple.com/dE4W5p0R4i" TargetMode="External"/><Relationship Id="rId24" Type="http://schemas.openxmlformats.org/officeDocument/2006/relationships/hyperlink" Target="https://bit.ly/2VlbVdc" TargetMode="External"/><Relationship Id="rId23" Type="http://schemas.openxmlformats.org/officeDocument/2006/relationships/hyperlink" Target="mailto:tbrennan@apple.com" TargetMode="External"/><Relationship Id="rId26" Type="http://schemas.openxmlformats.org/officeDocument/2006/relationships/hyperlink" Target="mailto:tbrennan@apple.com" TargetMode="External"/><Relationship Id="rId25" Type="http://schemas.openxmlformats.org/officeDocument/2006/relationships/hyperlink" Target="https://bit.ly/2VlbVdc" TargetMode="External"/><Relationship Id="rId28" Type="http://schemas.openxmlformats.org/officeDocument/2006/relationships/hyperlink" Target="https://bit.ly/2IfDFw0" TargetMode="External"/><Relationship Id="rId27" Type="http://schemas.openxmlformats.org/officeDocument/2006/relationships/hyperlink" Target="https://bit.ly/2IfDFw0" TargetMode="External"/><Relationship Id="rId29" Type="http://schemas.openxmlformats.org/officeDocument/2006/relationships/hyperlink" Target="mailto:tbrennan@apple.com" TargetMode="External"/><Relationship Id="rId94" Type="http://schemas.openxmlformats.org/officeDocument/2006/relationships/drawing" Target="../drawings/drawing17.xml"/><Relationship Id="rId11" Type="http://schemas.openxmlformats.org/officeDocument/2006/relationships/hyperlink" Target="https://tinyurl.com/ybm542kb" TargetMode="External"/><Relationship Id="rId10" Type="http://schemas.openxmlformats.org/officeDocument/2006/relationships/hyperlink" Target="https://nycdoe.libguides.com/2018fallconference" TargetMode="External"/><Relationship Id="rId13" Type="http://schemas.openxmlformats.org/officeDocument/2006/relationships/hyperlink" Target="https://tinyurl.com/y74jc7ce" TargetMode="External"/><Relationship Id="rId12" Type="http://schemas.openxmlformats.org/officeDocument/2006/relationships/hyperlink" Target="https://goo.gl/forms/FW52eOwfo8RUCVFD3" TargetMode="External"/><Relationship Id="rId91" Type="http://schemas.openxmlformats.org/officeDocument/2006/relationships/hyperlink" Target="mailto:tbrennan@apple.com" TargetMode="External"/><Relationship Id="rId90" Type="http://schemas.openxmlformats.org/officeDocument/2006/relationships/hyperlink" Target="mailto:tbrennan@apple.com" TargetMode="External"/><Relationship Id="rId93" Type="http://schemas.openxmlformats.org/officeDocument/2006/relationships/hyperlink" Target="mailto:tbrennan@apple.com" TargetMode="External"/><Relationship Id="rId92" Type="http://schemas.openxmlformats.org/officeDocument/2006/relationships/hyperlink" Target="mailto:tbrennan@apple.com" TargetMode="External"/><Relationship Id="rId15" Type="http://schemas.openxmlformats.org/officeDocument/2006/relationships/hyperlink" Target="https://events.apple.com/content/events/us_education/us/en/k20-everyone-can-code-2018---land/k20-everyone-can-code-2018---rgst.html?token=RHKUXcykzEpV0YBkmqJ9w9u6xi4fhVRIxQAC9Ht38PRVKAT534Ot7jvzmi_7qHTCutmdk1efqjUp-eTl24y--T7y9ppnHdntkT4BcvSp7I6EpyJHLwenVpuEl8VXYaGH&amp;a=1&amp;l=r" TargetMode="External"/><Relationship Id="rId14" Type="http://schemas.openxmlformats.org/officeDocument/2006/relationships/hyperlink" Target="https://events.apple.com/content/events/us_education/us/en/k20-everyone-can-code-2018---land/k20-everyone-can-code-2018---rgst.html?token=RHKUXcykzEpV0YBkmqJ9w9u6xi4fhVRIxQAC9Ht38PRVKAT534Ot7jvzmi_7qHTCutmdk1efqjUp-eTl24y--T7y9ppnHdntkT4BcvSp7I6EpyJHLwenVpuEl8VXYaGH&amp;a=1&amp;l=r" TargetMode="External"/><Relationship Id="rId17" Type="http://schemas.openxmlformats.org/officeDocument/2006/relationships/hyperlink" Target="http://s.apple.com/dE4B7C4H3g" TargetMode="External"/><Relationship Id="rId16" Type="http://schemas.openxmlformats.org/officeDocument/2006/relationships/hyperlink" Target="mailto:tbrennan@apple.com" TargetMode="External"/><Relationship Id="rId19" Type="http://schemas.openxmlformats.org/officeDocument/2006/relationships/hyperlink" Target="mailto:tbrennan@apple.com" TargetMode="External"/><Relationship Id="rId18" Type="http://schemas.openxmlformats.org/officeDocument/2006/relationships/hyperlink" Target="http://s.apple.com/dE4B7C4H3g" TargetMode="External"/><Relationship Id="rId84" Type="http://schemas.openxmlformats.org/officeDocument/2006/relationships/hyperlink" Target="https://bit.ly/2WMVOp2" TargetMode="External"/><Relationship Id="rId83" Type="http://schemas.openxmlformats.org/officeDocument/2006/relationships/hyperlink" Target="https://bit.ly/2WMVOp2" TargetMode="External"/><Relationship Id="rId86" Type="http://schemas.openxmlformats.org/officeDocument/2006/relationships/hyperlink" Target="http://disabilitypridenyc.org/" TargetMode="External"/><Relationship Id="rId85" Type="http://schemas.openxmlformats.org/officeDocument/2006/relationships/hyperlink" Target="http://tinyurl.com/DOEParade2019" TargetMode="External"/><Relationship Id="rId88" Type="http://schemas.openxmlformats.org/officeDocument/2006/relationships/hyperlink" Target="http://tinyurl.com/yxps9vtn" TargetMode="External"/><Relationship Id="rId87" Type="http://schemas.openxmlformats.org/officeDocument/2006/relationships/hyperlink" Target="mailto:tbrennan@apple.com" TargetMode="External"/><Relationship Id="rId89" Type="http://schemas.openxmlformats.org/officeDocument/2006/relationships/hyperlink" Target="https://www.echalk.com/dig-in-camps" TargetMode="External"/><Relationship Id="rId80" Type="http://schemas.openxmlformats.org/officeDocument/2006/relationships/hyperlink" Target="https://bit.ly/2uT4luB" TargetMode="External"/><Relationship Id="rId82" Type="http://schemas.openxmlformats.org/officeDocument/2006/relationships/hyperlink" Target="mailto:tbrennan@apple.com" TargetMode="External"/><Relationship Id="rId81" Type="http://schemas.openxmlformats.org/officeDocument/2006/relationships/hyperlink" Target="https://bit.ly/2uT4luB" TargetMode="External"/><Relationship Id="rId1" Type="http://schemas.openxmlformats.org/officeDocument/2006/relationships/hyperlink" Target="https://tinyurl.com/yb5drhxa" TargetMode="External"/><Relationship Id="rId2" Type="http://schemas.openxmlformats.org/officeDocument/2006/relationships/hyperlink" Target="https://www.eventbrite.com/e/innovative-teaching-co-op-monthly-meetup-end-of-summer-tickets-47923010013" TargetMode="External"/><Relationship Id="rId3" Type="http://schemas.openxmlformats.org/officeDocument/2006/relationships/hyperlink" Target="https://mouse.org/csfirst" TargetMode="External"/><Relationship Id="rId4" Type="http://schemas.openxmlformats.org/officeDocument/2006/relationships/hyperlink" Target="https://tinyurl.com/digitalimagemakeoverclass" TargetMode="External"/><Relationship Id="rId9" Type="http://schemas.openxmlformats.org/officeDocument/2006/relationships/hyperlink" Target="https://goo.gl/forms/FW52eOwfo8RUCVFD3" TargetMode="External"/><Relationship Id="rId5" Type="http://schemas.openxmlformats.org/officeDocument/2006/relationships/hyperlink" Target="https://tinyurl.com/y9gof76u" TargetMode="External"/><Relationship Id="rId6" Type="http://schemas.openxmlformats.org/officeDocument/2006/relationships/hyperlink" Target="https://tinyurl.com/ycqu9w9l" TargetMode="External"/><Relationship Id="rId7" Type="http://schemas.openxmlformats.org/officeDocument/2006/relationships/hyperlink" Target="https://goo.gl/forms/5kXvEIq0etvqiuwf1" TargetMode="External"/><Relationship Id="rId8" Type="http://schemas.openxmlformats.org/officeDocument/2006/relationships/hyperlink" Target="https://tinyurl.com/ya3t7mqq" TargetMode="External"/><Relationship Id="rId73" Type="http://schemas.openxmlformats.org/officeDocument/2006/relationships/hyperlink" Target="mailto:tbrennan@apple.com" TargetMode="External"/><Relationship Id="rId72" Type="http://schemas.openxmlformats.org/officeDocument/2006/relationships/hyperlink" Target="https://bit.ly/2U1DUgp" TargetMode="External"/><Relationship Id="rId75" Type="http://schemas.openxmlformats.org/officeDocument/2006/relationships/hyperlink" Target="https://bit.ly/2YSoajG" TargetMode="External"/><Relationship Id="rId74" Type="http://schemas.openxmlformats.org/officeDocument/2006/relationships/hyperlink" Target="https://bit.ly/2YSoajG" TargetMode="External"/><Relationship Id="rId77" Type="http://schemas.openxmlformats.org/officeDocument/2006/relationships/hyperlink" Target="https://bit.ly/2VppoRl" TargetMode="External"/><Relationship Id="rId76" Type="http://schemas.openxmlformats.org/officeDocument/2006/relationships/hyperlink" Target="mailto:tbrennan@apple.com" TargetMode="External"/><Relationship Id="rId79" Type="http://schemas.openxmlformats.org/officeDocument/2006/relationships/hyperlink" Target="mailto:tbrennan@apple.com" TargetMode="External"/><Relationship Id="rId78" Type="http://schemas.openxmlformats.org/officeDocument/2006/relationships/hyperlink" Target="https://bit.ly/2VppoRl" TargetMode="External"/><Relationship Id="rId71" Type="http://schemas.openxmlformats.org/officeDocument/2006/relationships/hyperlink" Target="mailto:tbrennan@apple.com" TargetMode="External"/><Relationship Id="rId70" Type="http://schemas.openxmlformats.org/officeDocument/2006/relationships/hyperlink" Target="https://bit.ly/2HZ6tcX" TargetMode="External"/><Relationship Id="rId62" Type="http://schemas.openxmlformats.org/officeDocument/2006/relationships/hyperlink" Target="mailto:tbrennan@apple.com" TargetMode="External"/><Relationship Id="rId61" Type="http://schemas.openxmlformats.org/officeDocument/2006/relationships/hyperlink" Target="https://bit.ly/2uLOBts" TargetMode="External"/><Relationship Id="rId64" Type="http://schemas.openxmlformats.org/officeDocument/2006/relationships/hyperlink" Target="https://bit.ly/2HYbRxb" TargetMode="External"/><Relationship Id="rId63" Type="http://schemas.openxmlformats.org/officeDocument/2006/relationships/hyperlink" Target="https://bit.ly/2HYbRxb" TargetMode="External"/><Relationship Id="rId66" Type="http://schemas.openxmlformats.org/officeDocument/2006/relationships/hyperlink" Target="https://bit.ly/2K9hla7" TargetMode="External"/><Relationship Id="rId65" Type="http://schemas.openxmlformats.org/officeDocument/2006/relationships/hyperlink" Target="mailto:tbrennan@apple.com" TargetMode="External"/><Relationship Id="rId68" Type="http://schemas.openxmlformats.org/officeDocument/2006/relationships/hyperlink" Target="mailto:tbrennan@apple.com" TargetMode="External"/><Relationship Id="rId67" Type="http://schemas.openxmlformats.org/officeDocument/2006/relationships/hyperlink" Target="https://bit.ly/2K9hla7" TargetMode="External"/><Relationship Id="rId60" Type="http://schemas.openxmlformats.org/officeDocument/2006/relationships/hyperlink" Target="https://bit.ly/2uLOBts" TargetMode="External"/><Relationship Id="rId69" Type="http://schemas.openxmlformats.org/officeDocument/2006/relationships/hyperlink" Target="https://bit.ly/2HZ6tcX" TargetMode="External"/><Relationship Id="rId51" Type="http://schemas.openxmlformats.org/officeDocument/2006/relationships/hyperlink" Target="https://bit.ly/2U437Hq" TargetMode="External"/><Relationship Id="rId50" Type="http://schemas.openxmlformats.org/officeDocument/2006/relationships/hyperlink" Target="mailto:tbrennan@apple.com" TargetMode="External"/><Relationship Id="rId53" Type="http://schemas.openxmlformats.org/officeDocument/2006/relationships/hyperlink" Target="mailto:tbrennan@apple.com" TargetMode="External"/><Relationship Id="rId52" Type="http://schemas.openxmlformats.org/officeDocument/2006/relationships/hyperlink" Target="https://bit.ly/2U437Hq" TargetMode="External"/><Relationship Id="rId55" Type="http://schemas.openxmlformats.org/officeDocument/2006/relationships/hyperlink" Target="https://bit.ly/2uMTqCP" TargetMode="External"/><Relationship Id="rId54" Type="http://schemas.openxmlformats.org/officeDocument/2006/relationships/hyperlink" Target="https://bit.ly/2uMTqCP" TargetMode="External"/><Relationship Id="rId57" Type="http://schemas.openxmlformats.org/officeDocument/2006/relationships/hyperlink" Target="https://bit.ly/2G44dPG" TargetMode="External"/><Relationship Id="rId56" Type="http://schemas.openxmlformats.org/officeDocument/2006/relationships/hyperlink" Target="mailto:tbrennan@apple.com" TargetMode="External"/><Relationship Id="rId59" Type="http://schemas.openxmlformats.org/officeDocument/2006/relationships/hyperlink" Target="mailto:tbrennan@apple.com" TargetMode="External"/><Relationship Id="rId58" Type="http://schemas.openxmlformats.org/officeDocument/2006/relationships/hyperlink" Target="https://bit.ly/2G44dPG"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docs.google.com/spreadsheets/d/12X-61HfLBxTxAESoAea0X2I4K1R-valRhC9TIkvFTzs/edit" TargetMode="External"/><Relationship Id="rId2" Type="http://schemas.openxmlformats.org/officeDocument/2006/relationships/hyperlink" Target="mailto:tbrennan@apple.com" TargetMode="External"/><Relationship Id="rId3" Type="http://schemas.openxmlformats.org/officeDocument/2006/relationships/hyperlink" Target="http://s.apple.com/dE0a9r5z0Y" TargetMode="External"/><Relationship Id="rId4"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commonsense.org/education/coronavirus-resources" TargetMode="External"/><Relationship Id="rId2" Type="http://schemas.openxmlformats.org/officeDocument/2006/relationships/hyperlink" Target="https://www.youtube.com/watch?v=yVx-3ccJ7tA&amp;fbclid=IwAR0BUWPCYarxHSzX431I1zZ9M6MJsaa8OgMZyomBzyNc7K5kjiwKuXuxO98" TargetMode="External"/><Relationship Id="rId3" Type="http://schemas.openxmlformats.org/officeDocument/2006/relationships/hyperlink" Target="https://web.microsoftstream.com/video/c9292d2d-dbab-4efa-8da4-eda85583a1b4" TargetMode="External"/><Relationship Id="rId4" Type="http://schemas.openxmlformats.org/officeDocument/2006/relationships/hyperlink" Target="https://www.microsoft.com/en-us/education/remote-learning" TargetMode="External"/><Relationship Id="rId9" Type="http://schemas.openxmlformats.org/officeDocument/2006/relationships/hyperlink" Target="https://learn.flglobal.org/courses/NYCDOE-rtol-rapid-transition-to-online-learning-1" TargetMode="External"/><Relationship Id="rId5" Type="http://schemas.openxmlformats.org/officeDocument/2006/relationships/hyperlink" Target="https://web.microsoftstream.com/video/346ca7a5-4843-4e6b-84ad-241f724786fd" TargetMode="External"/><Relationship Id="rId6" Type="http://schemas.openxmlformats.org/officeDocument/2006/relationships/hyperlink" Target="https://aka.ms/InclusiveDeck" TargetMode="External"/><Relationship Id="rId7" Type="http://schemas.openxmlformats.org/officeDocument/2006/relationships/hyperlink" Target="http://learn.newsela.com" TargetMode="External"/><Relationship Id="rId8" Type="http://schemas.openxmlformats.org/officeDocument/2006/relationships/hyperlink" Target="https://www.peardeck.com/" TargetMode="External"/><Relationship Id="rId11" Type="http://schemas.openxmlformats.org/officeDocument/2006/relationships/hyperlink" Target="https://www.galepages.com/nycdoe11" TargetMode="External"/><Relationship Id="rId10" Type="http://schemas.openxmlformats.org/officeDocument/2006/relationships/hyperlink" Target="https://web.microsoftstream.com/video/87495de2-570e-4d46-b16c-8008a1a3d729" TargetMode="External"/><Relationship Id="rId13" Type="http://schemas.openxmlformats.org/officeDocument/2006/relationships/hyperlink" Target="http://teq.com/remote-learning" TargetMode="External"/><Relationship Id="rId12" Type="http://schemas.openxmlformats.org/officeDocument/2006/relationships/hyperlink" Target="http://nycdoe.libguides.com/home" TargetMode="External"/><Relationship Id="rId15" Type="http://schemas.openxmlformats.org/officeDocument/2006/relationships/hyperlink" Target="https://docs.google.com/document/d/10bqQ6_pV4KIgcgTJowhrMyiCsDZWvKDbysuPZfds93k/edit?usp=sharing" TargetMode="External"/><Relationship Id="rId14" Type="http://schemas.openxmlformats.org/officeDocument/2006/relationships/hyperlink" Target="https://web.microsoftstream.com/video/48c14b1b-7f7f-4aeb-9ccc-fc8aacdc380c" TargetMode="External"/><Relationship Id="rId16"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40" Type="http://schemas.openxmlformats.org/officeDocument/2006/relationships/hyperlink" Target="https://d75stem.d75edu.com/" TargetMode="External"/><Relationship Id="rId42" Type="http://schemas.openxmlformats.org/officeDocument/2006/relationships/hyperlink" Target="https://d75stem.d75edu.com/" TargetMode="External"/><Relationship Id="rId41" Type="http://schemas.openxmlformats.org/officeDocument/2006/relationships/hyperlink" Target="https://us04web.zoom.us/j/216974476" TargetMode="External"/><Relationship Id="rId44"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43" Type="http://schemas.openxmlformats.org/officeDocument/2006/relationships/hyperlink" Target="https://twitter.com/seanmarnold" TargetMode="External"/><Relationship Id="rId46" Type="http://schemas.openxmlformats.org/officeDocument/2006/relationships/hyperlink" Target="https://teams.microsoft.com/l/meetup-join/19%3ameeting_OWMyMDE1NWMtYzJiMS00ZTgzLWE0YjktNjcyYTNkMmY3MWY3%40thread.v2/0?context=%7b%22Tid%22%3a%2218492cb7-ef45-4561-8571-0c42e5f7ac07%22%2c%22Oid%22%3a%22e1ddfd45-88c4-4512-962c-d69ff5c2d9ac%22%7d" TargetMode="External"/><Relationship Id="rId45" Type="http://schemas.openxmlformats.org/officeDocument/2006/relationships/hyperlink" Target="https://edpuzzle.com" TargetMode="External"/><Relationship Id="rId1" Type="http://schemas.openxmlformats.org/officeDocument/2006/relationships/hyperlink" Target="https://nam01.safelinks.protection.outlook.com/ap/t-59584e83/?url=https%3A%2F%2Fteams.microsoft.com%2Fl%2Fmeetup-join%2F19%253ameeting_NmRiMGYzYTQtMTYwNS00NjkzLTk2ZTgtNGFjNGQ4ZTQ0M2Zi%2540thread.v2%2F0%3Fcontext%3D%257b%2522Tid%2522%253a%252272f988bf-86f1-41af-91ab-2d7cd011db47%2522%252c%2522Oid%2522%253a%25229d3e23ee-9154-4209-b172-1adeb5b6bddd%2522%257d&amp;data=02%7C01%7CRemotelearning%40schools.nyc.gov%7Cb6c810394cf545c7798e08d7cbfd2c77%7C18492cb7ef45456185710c42e5f7ac07%7C0%7C0%7C637202160537234730&amp;sdata=i1QNsgCWjZrxgLcb8p6I3M2grG%2FNHotcTTDQslsQpNo%3D&amp;reserved=0" TargetMode="External"/><Relationship Id="rId2" Type="http://schemas.openxmlformats.org/officeDocument/2006/relationships/hyperlink" Target="https://nam01.safelinks.protection.outlook.com/ap/t-59584e83/?url=https%3A%2F%2Fteams.microsoft.com%2Fl%2Fmeetup-join%2F19%253ameeting_NDFmMDFkNDktMmE1MC00ZTA2LTk2OGUtNGNjMmNkMTViOTE0%2540thread.v2%2F0%3Fcontext%3D%257b%2522Tid%2522%253a%252272f988bf-86f1-41af-91ab-2d7cd011db47%2522%252c%2522Oid%2522%253a%25228ea22583-eedd-4a6f-9227-f17598f3b765%2522%257d&amp;data=02%7C01%7CRemotelearning%40schools.nyc.gov%7Cb6c810394cf545c7798e08d7cbfd2c77%7C18492cb7ef45456185710c42e5f7ac07%7C0%7C0%7C637202160537264714&amp;sdata=xZNpAxhqsoo4Unk%2FUqIrvn%2BLBIJXtOMzVVnwVFyjQcM%3D&amp;reserved=0" TargetMode="External"/><Relationship Id="rId3" Type="http://schemas.openxmlformats.org/officeDocument/2006/relationships/hyperlink" Target="https://teams.microsoft.com/l/meetup-join/19%3ameeting_MjM5ZjM2OTgtOWQyMS00N2E3LWEwMDctNDk0ZGFmMTY5NzVm%40thread.v2/0?context=%7b%22Tid%22%3a%2218492cb7-ef45-4561-8571-0c42e5f7ac07%22%2c%22Oid%22%3a%221a775150-237a-4709-8e4c-9c38f405aec6%22%7d" TargetMode="External"/><Relationship Id="rId4" Type="http://schemas.openxmlformats.org/officeDocument/2006/relationships/hyperlink" Target="https://teams.microsoft.com/l/meetup-join/19%3ameeting_MjM5ZjM2OTgtOWQyMS00N2E3LWEwMDctNDk0ZGFmMTY5NzVm%40thread.v2/0?context=%7b%22Tid%22%3a%2218492cb7-ef45-4561-8571-0c42e5f7ac07%22%2c%22Oid%22%3a%221a775150-237a-4709-8e4c-9c38f405aec6%22%7d" TargetMode="External"/><Relationship Id="rId9" Type="http://schemas.openxmlformats.org/officeDocument/2006/relationships/hyperlink" Target="https://nam01.safelinks.protection.outlook.com/ap/t-59584e83/?url=https%3A%2F%2Fteams.microsoft.com%2Fl%2Fmeetup-join%2F19%253ameeting_NmRiMGYzYTQtMTYwNS00NjkzLTk2ZTgtNGFjNGQ4ZTQ0M2Zi%2540thread.v2%2F0%3Fcontext%3D%257b%2522Tid%2522%253a%252272f988bf-86f1-41af-91ab-2d7cd011db47%2522%252c%2522Oid%2522%253a%25229d3e23ee-9154-4209-b172-1adeb5b6bddd%2522%257d&amp;data=02%7C01%7CRemotelearning%40schools.nyc.gov%7Cb6c810394cf545c7798e08d7cbfd2c77%7C18492cb7ef45456185710c42e5f7ac07%7C0%7C0%7C637202160537234730&amp;sdata=i1QNsgCWjZrxgLcb8p6I3M2grG%2FNHotcTTDQslsQpNo%3D&amp;reserved=0" TargetMode="External"/><Relationship Id="rId48" Type="http://schemas.openxmlformats.org/officeDocument/2006/relationships/hyperlink" Target="mailto:etierne@schools.nyc.gov" TargetMode="External"/><Relationship Id="rId47" Type="http://schemas.openxmlformats.org/officeDocument/2006/relationships/hyperlink" Target="mailto:etierne@schools.nyc.gov" TargetMode="External"/><Relationship Id="rId49" Type="http://schemas.openxmlformats.org/officeDocument/2006/relationships/hyperlink" Target="https://d75stem.d75edu.com/" TargetMode="External"/><Relationship Id="rId5" Type="http://schemas.openxmlformats.org/officeDocument/2006/relationships/hyperlink" Target="https://nam01.safelinks.protection.outlook.com/ap/t-59584e83/?url=https%3A%2F%2Fteams.microsoft.com%2Fl%2Fmeetup-join%2F19%253ameeting_NmRiMGYzYTQtMTYwNS00NjkzLTk2ZTgtNGFjNGQ4ZTQ0M2Zi%2540thread.v2%2F0%3Fcontext%3D%257b%2522Tid%2522%253a%252272f988bf-86f1-41af-91ab-2d7cd011db47%2522%252c%2522Oid%2522%253a%25229d3e23ee-9154-4209-b172-1adeb5b6bddd%2522%257d&amp;data=02%7C01%7CRemotelearning%40schools.nyc.gov%7Cb6c810394cf545c7798e08d7cbfd2c77%7C18492cb7ef45456185710c42e5f7ac07%7C0%7C0%7C637202160537234730&amp;sdata=i1QNsgCWjZrxgLcb8p6I3M2grG%2FNHotcTTDQslsQpNo%3D&amp;reserved=0" TargetMode="External"/><Relationship Id="rId6" Type="http://schemas.openxmlformats.org/officeDocument/2006/relationships/hyperlink" Target="https://nam01.safelinks.protection.outlook.com/ap/t-59584e83/?url=https%3A%2F%2Fteams.microsoft.com%2Fl%2Fmeetup-join%2F19%253ameeting_NDFmMDFkNDktMmE1MC00ZTA2LTk2OGUtNGNjMmNkMTViOTE0%2540thread.v2%2F0%3Fcontext%3D%257b%2522Tid%2522%253a%252272f988bf-86f1-41af-91ab-2d7cd011db47%2522%252c%2522Oid%2522%253a%25228ea22583-eedd-4a6f-9227-f17598f3b765%2522%257d&amp;data=02%7C01%7CRemotelearning%40schools.nyc.gov%7Cb6c810394cf545c7798e08d7cbfd2c77%7C18492cb7ef45456185710c42e5f7ac07%7C0%7C0%7C637202160537264714&amp;sdata=xZNpAxhqsoo4Unk%2FUqIrvn%2BLBIJXtOMzVVnwVFyjQcM%3D&amp;reserved=0" TargetMode="External"/><Relationship Id="rId7" Type="http://schemas.openxmlformats.org/officeDocument/2006/relationships/hyperlink" Target="https://teams.microsoft.com/l/meetup-join/19%3ameeting_MjM5ZjM2OTgtOWQyMS00N2E3LWEwMDctNDk0ZGFmMTY5NzVm%40thread.v2/0?context=%7b%22Tid%22%3a%2218492cb7-ef45-4561-8571-0c42e5f7ac07%22%2c%22Oid%22%3a%221a775150-237a-4709-8e4c-9c38f405aec6%22%7d" TargetMode="External"/><Relationship Id="rId8" Type="http://schemas.openxmlformats.org/officeDocument/2006/relationships/hyperlink" Target="https://teams.microsoft.com/l/meetup-join/19%3ameeting_MjM5ZjM2OTgtOWQyMS00N2E3LWEwMDctNDk0ZGFmMTY5NzVm%40thread.v2/0?context=%7b%22Tid%22%3a%2218492cb7-ef45-4561-8571-0c42e5f7ac07%22%2c%22Oid%22%3a%221a775150-237a-4709-8e4c-9c38f405aec6%22%7d" TargetMode="External"/><Relationship Id="rId31"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30" Type="http://schemas.openxmlformats.org/officeDocument/2006/relationships/hyperlink" Target="https://teams.microsoft.com/l/meetup-join/19%3ameeting_OGM1NWM2M2QtNjlhYy00ZDMwLWIxM2MtNTNiNGRmMDgzMjIy%40thread.v2/0?context=%7b%22Tid%22%3a%2218492cb7-ef45-4561-8571-0c42e5f7ac07%22%2c%22Oid%22%3a%22330b8c37-6819-4c0a-ba6b-72395a392551%22%7d" TargetMode="External"/><Relationship Id="rId33" Type="http://schemas.openxmlformats.org/officeDocument/2006/relationships/hyperlink" Target="https://us04web.zoom.us/j/662487347" TargetMode="External"/><Relationship Id="rId32" Type="http://schemas.openxmlformats.org/officeDocument/2006/relationships/hyperlink" Target="https://us04web.zoom.us/j/967927769" TargetMode="External"/><Relationship Id="rId35" Type="http://schemas.openxmlformats.org/officeDocument/2006/relationships/hyperlink" Target="https://twitter.com/seanmarnold" TargetMode="External"/><Relationship Id="rId34" Type="http://schemas.openxmlformats.org/officeDocument/2006/relationships/hyperlink" Target="https://d75stem.d75edu.com/" TargetMode="External"/><Relationship Id="rId37"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36"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39" Type="http://schemas.openxmlformats.org/officeDocument/2006/relationships/hyperlink" Target="https://d75stem.d75edu.com/" TargetMode="External"/><Relationship Id="rId38" Type="http://schemas.openxmlformats.org/officeDocument/2006/relationships/hyperlink" Target="https://teams.microsoft.com/l/meetup-join/19%3ad8ff77c2e2d5476bbcde9fe502289901%40thread.skype/1584904522677?context=%7b%22Tid%22%3a%2218492cb7-ef45-4561-8571-0c42e5f7ac07%22%2c%22Oid%22%3a%2223887be3-a68f-4f4a-baba-98ea4e2f07bb%22%7d" TargetMode="External"/><Relationship Id="rId20" Type="http://schemas.openxmlformats.org/officeDocument/2006/relationships/hyperlink" Target="https://teams.microsoft.com/l/meetup-join/19%3ad8ff77c2e2d5476bbcde9fe502289901%40thread.skype/1584904522677?context=%7b%22Tid%22%3a%2218492cb7-ef45-4561-8571-0c42e5f7ac07%22%2c%22Oid%22%3a%2223887be3-a68f-4f4a-baba-98ea4e2f07bb%22%7d" TargetMode="External"/><Relationship Id="rId22" Type="http://schemas.openxmlformats.org/officeDocument/2006/relationships/hyperlink" Target="https://d75stem.d75edu.com/" TargetMode="External"/><Relationship Id="rId21" Type="http://schemas.openxmlformats.org/officeDocument/2006/relationships/hyperlink" Target="https://d75stem.d75edu.com/" TargetMode="External"/><Relationship Id="rId24" Type="http://schemas.openxmlformats.org/officeDocument/2006/relationships/hyperlink" Target="https://us04web.zoom.us/j/216974476" TargetMode="External"/><Relationship Id="rId23" Type="http://schemas.openxmlformats.org/officeDocument/2006/relationships/hyperlink" Target="https://d75stem.d75edu.com/" TargetMode="External"/><Relationship Id="rId26" Type="http://schemas.openxmlformats.org/officeDocument/2006/relationships/hyperlink" Target="https://twitter.com/seanmarnold" TargetMode="External"/><Relationship Id="rId25" Type="http://schemas.openxmlformats.org/officeDocument/2006/relationships/hyperlink" Target="https://d75stem.d75edu.com/" TargetMode="External"/><Relationship Id="rId28"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27" Type="http://schemas.openxmlformats.org/officeDocument/2006/relationships/hyperlink" Target="http://bit.ltrspremote" TargetMode="External"/><Relationship Id="rId29" Type="http://schemas.openxmlformats.org/officeDocument/2006/relationships/hyperlink" Target="https://teams.microsoft.com/l/meetup-join/19%3ameeting_OGM1NWM2M2QtNjlhYy00ZDMwLWIxM2MtNTNiNGRmMDgzMjIy%40thread.v2/0?context=%7b%22Tid%22%3a%2218492cb7-ef45-4561-8571-0c42e5f7ac07%22%2c%22Oid%22%3a%22330b8c37-6819-4c0a-ba6b-72395a392551%22%7d" TargetMode="External"/><Relationship Id="rId51" Type="http://schemas.openxmlformats.org/officeDocument/2006/relationships/hyperlink" Target="https://d75stem.d75edu.com/" TargetMode="External"/><Relationship Id="rId50"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53" Type="http://schemas.openxmlformats.org/officeDocument/2006/relationships/hyperlink" Target="https://d75stem.d75edu.com/" TargetMode="External"/><Relationship Id="rId52" Type="http://schemas.openxmlformats.org/officeDocument/2006/relationships/hyperlink" Target="https://us04web.zoom.us/j/662487347" TargetMode="External"/><Relationship Id="rId11"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55"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10" Type="http://schemas.openxmlformats.org/officeDocument/2006/relationships/hyperlink" Target="https://nam01.safelinks.protection.outlook.com/ap/t-59584e83/?url=https%3A%2F%2Fteams.microsoft.com%2Fl%2Fmeetup-join%2F19%253ameeting_NDFmMDFkNDktMmE1MC00ZTA2LTk2OGUtNGNjMmNkMTViOTE0%2540thread.v2%2F0%3Fcontext%3D%257b%2522Tid%2522%253a%252272f988bf-86f1-41af-91ab-2d7cd011db47%2522%252c%2522Oid%2522%253a%25228ea22583-eedd-4a6f-9227-f17598f3b765%2522%257d&amp;data=02%7C01%7CRemotelearning%40schools.nyc.gov%7Cb6c810394cf545c7798e08d7cbfd2c77%7C18492cb7ef45456185710c42e5f7ac07%7C0%7C0%7C637202160537264714&amp;sdata=xZNpAxhqsoo4Unk%2FUqIrvn%2BLBIJXtOMzVVnwVFyjQcM%3D&amp;reserved=0" TargetMode="External"/><Relationship Id="rId54" Type="http://schemas.openxmlformats.org/officeDocument/2006/relationships/hyperlink" Target="https://twitter.com/seanmarnold" TargetMode="External"/><Relationship Id="rId13" Type="http://schemas.openxmlformats.org/officeDocument/2006/relationships/hyperlink" Target="https://docs.google.com/document/d/1T_FQ3ejoQ5WRv1GnQMFsiIKszYgkUOryYr59Gd3d6pU/edit?usp=sharing" TargetMode="External"/><Relationship Id="rId57" Type="http://schemas.openxmlformats.org/officeDocument/2006/relationships/drawing" Target="../drawings/drawing3.xml"/><Relationship Id="rId12" Type="http://schemas.openxmlformats.org/officeDocument/2006/relationships/hyperlink" Target="https://d75stem.d75edu.com/" TargetMode="External"/><Relationship Id="rId56"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15"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14" Type="http://schemas.openxmlformats.org/officeDocument/2006/relationships/hyperlink" Target="https://d75stem.d75edu.com/" TargetMode="External"/><Relationship Id="rId17" Type="http://schemas.openxmlformats.org/officeDocument/2006/relationships/hyperlink" Target="https://d75stem.d75edu.com/" TargetMode="External"/><Relationship Id="rId16" Type="http://schemas.openxmlformats.org/officeDocument/2006/relationships/hyperlink" Target="https://d75stem.d75edu.com/" TargetMode="External"/><Relationship Id="rId19" Type="http://schemas.openxmlformats.org/officeDocument/2006/relationships/hyperlink" Target="http://facebook.com/laura.pretorius" TargetMode="External"/><Relationship Id="rId18"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40" Type="http://schemas.openxmlformats.org/officeDocument/2006/relationships/hyperlink" Target="https://nam01.safelinks.protection.outlook.com/ap/t-59584e83/?url=https%3A%2F%2Fteams.microsoft.com%2Fl%2Fmeetup-join%2F19%253ameeting_NmRiMGYzYTQtMTYwNS00NjkzLTk2ZTgtNGFjNGQ4ZTQ0M2Zi%2540thread.v2%2F0%3Fcontext%3D%257b%2522Tid%2522%253a%252272f988bf-86f1-41af-91ab-2d7cd011db47%2522%252c%2522Oid%2522%253a%25229d3e23ee-9154-4209-b172-1adeb5b6bddd%2522%257d&amp;data=02%7C01%7CRemotelearning%40schools.nyc.gov%7Cb6c810394cf545c7798e08d7cbfd2c77%7C18492cb7ef45456185710c42e5f7ac07%7C0%7C0%7C637202160537234730&amp;sdata=i1QNsgCWjZrxgLcb8p6I3M2grG%2FNHotcTTDQslsQpNo%3D&amp;reserved=0" TargetMode="External"/><Relationship Id="rId42" Type="http://schemas.openxmlformats.org/officeDocument/2006/relationships/hyperlink" Target="https://us04web.zoom.us/j/662487347" TargetMode="External"/><Relationship Id="rId41" Type="http://schemas.openxmlformats.org/officeDocument/2006/relationships/hyperlink" Target="https://nam01.safelinks.protection.outlook.com/ap/t-59584e83/?url=https%3A%2F%2Fteams.microsoft.com%2Fl%2Fmeetup-join%2F19%253ameeting_NDFmMDFkNDktMmE1MC00ZTA2LTk2OGUtNGNjMmNkMTViOTE0%2540thread.v2%2F0%3Fcontext%3D%257b%2522Tid%2522%253a%252272f988bf-86f1-41af-91ab-2d7cd011db47%2522%252c%2522Oid%2522%253a%25228ea22583-eedd-4a6f-9227-f17598f3b765%2522%257d&amp;data=02%7C01%7CRemotelearning%40schools.nyc.gov%7Cb6c810394cf545c7798e08d7cbfd2c77%7C18492cb7ef45456185710c42e5f7ac07%7C0%7C0%7C637202160537264714&amp;sdata=xZNpAxhqsoo4Unk%2FUqIrvn%2BLBIJXtOMzVVnwVFyjQcM%3D&amp;reserved=0" TargetMode="External"/><Relationship Id="rId44" Type="http://schemas.openxmlformats.org/officeDocument/2006/relationships/hyperlink" Target="https://twitter.com/seanmarnold" TargetMode="External"/><Relationship Id="rId43" Type="http://schemas.openxmlformats.org/officeDocument/2006/relationships/hyperlink" Target="https://d75stem.d75edu.com/" TargetMode="External"/><Relationship Id="rId46" Type="http://schemas.openxmlformats.org/officeDocument/2006/relationships/hyperlink" Target="https://nam01.safelinks.protection.outlook.com/ap/t-59584e83/?url=https%3A%2F%2Fteams.microsoft.com%2Fl%2Fmeetup-join%2F19%253ameeting_NDFmMDFkNDktMmE1MC00ZTA2LTk2OGUtNGNjMmNkMTViOTE0%2540thread.v2%2F0%3Fcontext%3D%257b%2522Tid%2522%253a%252272f988bf-86f1-41af-91ab-2d7cd011db47%2522%252c%2522Oid%2522%253a%25228ea22583-eedd-4a6f-9227-f17598f3b765%2522%257d&amp;data=02%7C01%7CRemotelearning%40schools.nyc.gov%7Cb6c810394cf545c7798e08d7cbfd2c77%7C18492cb7ef45456185710c42e5f7ac07%7C0%7C0%7C637202160537264714&amp;sdata=xZNpAxhqsoo4Unk%2FUqIrvn%2BLBIJXtOMzVVnwVFyjQcM%3D&amp;reserved=0" TargetMode="External"/><Relationship Id="rId45" Type="http://schemas.openxmlformats.org/officeDocument/2006/relationships/hyperlink" Target="https://nam01.safelinks.protection.outlook.com/ap/t-59584e83/?url=https%3A%2F%2Fteams.microsoft.com%2Fl%2Fmeetup-join%2F19%253ameeting_NmRiMGYzYTQtMTYwNS00NjkzLTk2ZTgtNGFjNGQ4ZTQ0M2Zi%2540thread.v2%2F0%3Fcontext%3D%257b%2522Tid%2522%253a%252272f988bf-86f1-41af-91ab-2d7cd011db47%2522%252c%2522Oid%2522%253a%25229d3e23ee-9154-4209-b172-1adeb5b6bddd%2522%257d&amp;data=02%7C01%7CRemotelearning%40schools.nyc.gov%7Cb6c810394cf545c7798e08d7cbfd2c77%7C18492cb7ef45456185710c42e5f7ac07%7C0%7C0%7C637202160537234730&amp;sdata=i1QNsgCWjZrxgLcb8p6I3M2grG%2FNHotcTTDQslsQpNo%3D&amp;reserved=0" TargetMode="External"/><Relationship Id="rId107" Type="http://schemas.openxmlformats.org/officeDocument/2006/relationships/drawing" Target="../drawings/drawing6.xml"/><Relationship Id="rId106"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105"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104" Type="http://schemas.openxmlformats.org/officeDocument/2006/relationships/hyperlink" Target="https://nam01.safelinks.protection.outlook.com/ap/t-59584e83/?url=https%3A%2F%2Fteams.microsoft.com%2Fl%2Fmeetup-join%2F19%253ameeting_NDFmMDFkNDktMmE1MC00ZTA2LTk2OGUtNGNjMmNkMTViOTE0%2540thread.v2%2F0%3Fcontext%3D%257b%2522Tid%2522%253a%252272f988bf-86f1-41af-91ab-2d7cd011db47%2522%252c%2522Oid%2522%253a%25228ea22583-eedd-4a6f-9227-f17598f3b765%2522%257d&amp;data=02%7C01%7CRemotelearning%40schools.nyc.gov%7Cb6c810394cf545c7798e08d7cbfd2c77%7C18492cb7ef45456185710c42e5f7ac07%7C0%7C0%7C637202160537264714&amp;sdata=xZNpAxhqsoo4Unk%2FUqIrvn%2BLBIJXtOMzVVnwVFyjQcM%3D&amp;reserved=0" TargetMode="External"/><Relationship Id="rId48"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47"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49" Type="http://schemas.openxmlformats.org/officeDocument/2006/relationships/hyperlink" Target="https://nam01.safelinks.protection.outlook.com/ap/t-59584e83/?url=https%3A%2F%2Fteams.microsoft.com%2Fl%2Fmeetup-join%2F19%253ameeting_NmRiMGYzYTQtMTYwNS00NjkzLTk2ZTgtNGFjNGQ4ZTQ0M2Zi%2540thread.v2%2F0%3Fcontext%3D%257b%2522Tid%2522%253a%252272f988bf-86f1-41af-91ab-2d7cd011db47%2522%252c%2522Oid%2522%253a%25229d3e23ee-9154-4209-b172-1adeb5b6bddd%2522%257d&amp;data=02%7C01%7CRemotelearning%40schools.nyc.gov%7Cb6c810394cf545c7798e08d7cbfd2c77%7C18492cb7ef45456185710c42e5f7ac07%7C0%7C0%7C637202160537234730&amp;sdata=i1QNsgCWjZrxgLcb8p6I3M2grG%2FNHotcTTDQslsQpNo%3D&amp;reserved=0" TargetMode="External"/><Relationship Id="rId103" Type="http://schemas.openxmlformats.org/officeDocument/2006/relationships/hyperlink" Target="https://nam01.safelinks.protection.outlook.com/ap/t-59584e83/?url=https%3A%2F%2Fteams.microsoft.com%2Fl%2Fmeetup-join%2F19%253ameeting_NmRiMGYzYTQtMTYwNS00NjkzLTk2ZTgtNGFjNGQ4ZTQ0M2Zi%2540thread.v2%2F0%3Fcontext%3D%257b%2522Tid%2522%253a%252272f988bf-86f1-41af-91ab-2d7cd011db47%2522%252c%2522Oid%2522%253a%25229d3e23ee-9154-4209-b172-1adeb5b6bddd%2522%257d&amp;data=02%7C01%7CRemotelearning%40schools.nyc.gov%7Cb6c810394cf545c7798e08d7cbfd2c77%7C18492cb7ef45456185710c42e5f7ac07%7C0%7C0%7C637202160537234730&amp;sdata=i1QNsgCWjZrxgLcb8p6I3M2grG%2FNHotcTTDQslsQpNo%3D&amp;reserved=0" TargetMode="External"/><Relationship Id="rId102" Type="http://schemas.openxmlformats.org/officeDocument/2006/relationships/hyperlink" Target="https://twitter.com/seanmarnold" TargetMode="External"/><Relationship Id="rId101" Type="http://schemas.openxmlformats.org/officeDocument/2006/relationships/hyperlink" Target="https://d75stem.d75edu.com/" TargetMode="External"/><Relationship Id="rId100" Type="http://schemas.openxmlformats.org/officeDocument/2006/relationships/hyperlink" Target="https://us04web.zoom.us/j/662487347" TargetMode="External"/><Relationship Id="rId31" Type="http://schemas.openxmlformats.org/officeDocument/2006/relationships/hyperlink" Target="https://d75stem.d75edu.com/" TargetMode="External"/><Relationship Id="rId30" Type="http://schemas.openxmlformats.org/officeDocument/2006/relationships/hyperlink" Target="https://teams.microsoft.com/l/meetup-join/19%3ad8ff77c2e2d5476bbcde9fe502289901%40thread.skype/1584904522677?context=%7b%22Tid%22%3a%2218492cb7-ef45-4561-8571-0c42e5f7ac07%22%2c%22Oid%22%3a%2223887be3-a68f-4f4a-baba-98ea4e2f07bb%22%7d" TargetMode="External"/><Relationship Id="rId33" Type="http://schemas.openxmlformats.org/officeDocument/2006/relationships/hyperlink" Target="https://d75stem.d75edu.com/" TargetMode="External"/><Relationship Id="rId32" Type="http://schemas.openxmlformats.org/officeDocument/2006/relationships/hyperlink" Target="https://d75stem.d75edu.com/" TargetMode="External"/><Relationship Id="rId35" Type="http://schemas.openxmlformats.org/officeDocument/2006/relationships/hyperlink" Target="https://d75stem.d75edu.com/" TargetMode="External"/><Relationship Id="rId34" Type="http://schemas.openxmlformats.org/officeDocument/2006/relationships/hyperlink" Target="https://us04web.zoom.us/j/216974476" TargetMode="External"/><Relationship Id="rId37" Type="http://schemas.openxmlformats.org/officeDocument/2006/relationships/hyperlink" Target="http://bit.ltrspremote" TargetMode="External"/><Relationship Id="rId36" Type="http://schemas.openxmlformats.org/officeDocument/2006/relationships/hyperlink" Target="https://twitter.com/seanmarnold" TargetMode="External"/><Relationship Id="rId39"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38"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20" Type="http://schemas.openxmlformats.org/officeDocument/2006/relationships/hyperlink" Target="https://nam01.safelinks.protection.outlook.com/ap/t-59584e83/?url=https%3A%2F%2Fteams.microsoft.com%2Fl%2Fmeetup-join%2F19%253ameeting_NmRiMGYzYTQtMTYwNS00NjkzLTk2ZTgtNGFjNGQ4ZTQ0M2Zi%2540thread.v2%2F0%3Fcontext%3D%257b%2522Tid%2522%253a%252272f988bf-86f1-41af-91ab-2d7cd011db47%2522%252c%2522Oid%2522%253a%25229d3e23ee-9154-4209-b172-1adeb5b6bddd%2522%257d&amp;data=02%7C01%7CRemotelearning%40schools.nyc.gov%7Cb6c810394cf545c7798e08d7cbfd2c77%7C18492cb7ef45456185710c42e5f7ac07%7C0%7C0%7C637202160537234730&amp;sdata=i1QNsgCWjZrxgLcb8p6I3M2grG%2FNHotcTTDQslsQpNo%3D&amp;reserved=0" TargetMode="External"/><Relationship Id="rId22" Type="http://schemas.openxmlformats.org/officeDocument/2006/relationships/hyperlink" Target="https://docs.google.com/document/d/1yHSfMvH56sVTNS5oSG4zwC_KOej4qS0LaU4Z8xaVkBg/edit?usp=sharing" TargetMode="External"/><Relationship Id="rId21" Type="http://schemas.openxmlformats.org/officeDocument/2006/relationships/hyperlink" Target="https://nam01.safelinks.protection.outlook.com/ap/t-59584e83/?url=https%3A%2F%2Fteams.microsoft.com%2Fl%2Fmeetup-join%2F19%253ameeting_NDFmMDFkNDktMmE1MC00ZTA2LTk2OGUtNGNjMmNkMTViOTE0%2540thread.v2%2F0%3Fcontext%3D%257b%2522Tid%2522%253a%252272f988bf-86f1-41af-91ab-2d7cd011db47%2522%252c%2522Oid%2522%253a%25228ea22583-eedd-4a6f-9227-f17598f3b765%2522%257d&amp;data=02%7C01%7CRemotelearning%40schools.nyc.gov%7Cb6c810394cf545c7798e08d7cbfd2c77%7C18492cb7ef45456185710c42e5f7ac07%7C0%7C0%7C637202160537264714&amp;sdata=xZNpAxhqsoo4Unk%2FUqIrvn%2BLBIJXtOMzVVnwVFyjQcM%3D&amp;reserved=0" TargetMode="External"/><Relationship Id="rId24" Type="http://schemas.openxmlformats.org/officeDocument/2006/relationships/hyperlink" Target="https://nam01.safelinks.protection.outlook.com/ap/t-59584e83/?url=https%3A%2F%2Fteams.microsoft.com%2Fl%2Fmeetup-join%2F19%253ameeting_NDFmMDFkNDktMmE1MC00ZTA2LTk2OGUtNGNjMmNkMTViOTE0%2540thread.v2%2F0%3Fcontext%3D%257b%2522Tid%2522%253a%252272f988bf-86f1-41af-91ab-2d7cd011db47%2522%252c%2522Oid%2522%253a%25228ea22583-eedd-4a6f-9227-f17598f3b765%2522%257d&amp;data=02%7C01%7CRemotelearning%40schools.nyc.gov%7Cb6c810394cf545c7798e08d7cbfd2c77%7C18492cb7ef45456185710c42e5f7ac07%7C0%7C0%7C637202160537264714&amp;sdata=xZNpAxhqsoo4Unk%2FUqIrvn%2BLBIJXtOMzVVnwVFyjQcM%3D&amp;reserved=0" TargetMode="External"/><Relationship Id="rId23" Type="http://schemas.openxmlformats.org/officeDocument/2006/relationships/hyperlink" Target="https://nam01.safelinks.protection.outlook.com/ap/t-59584e83/?url=https%3A%2F%2Fteams.microsoft.com%2Fl%2Fmeetup-join%2F19%253ameeting_NmRiMGYzYTQtMTYwNS00NjkzLTk2ZTgtNGFjNGQ4ZTQ0M2Zi%2540thread.v2%2F0%3Fcontext%3D%257b%2522Tid%2522%253a%252272f988bf-86f1-41af-91ab-2d7cd011db47%2522%252c%2522Oid%2522%253a%25229d3e23ee-9154-4209-b172-1adeb5b6bddd%2522%257d&amp;data=02%7C01%7CRemotelearning%40schools.nyc.gov%7Cb6c810394cf545c7798e08d7cbfd2c77%7C18492cb7ef45456185710c42e5f7ac07%7C0%7C0%7C637202160537234730&amp;sdata=i1QNsgCWjZrxgLcb8p6I3M2grG%2FNHotcTTDQslsQpNo%3D&amp;reserved=0" TargetMode="External"/><Relationship Id="rId26"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25"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28" Type="http://schemas.openxmlformats.org/officeDocument/2006/relationships/hyperlink" Target="https://nam01.safelinks.protection.outlook.com/ap/t-59584e83/?url=https%3A%2F%2Fteams.microsoft.com%2Fl%2Fmeetup-join%2F19%253ameeting_NmRiMGYzYTQtMTYwNS00NjkzLTk2ZTgtNGFjNGQ4ZTQ0M2Zi%2540thread.v2%2F0%3Fcontext%3D%257b%2522Tid%2522%253a%252272f988bf-86f1-41af-91ab-2d7cd011db47%2522%252c%2522Oid%2522%253a%25229d3e23ee-9154-4209-b172-1adeb5b6bddd%2522%257d&amp;data=02%7C01%7CRemotelearning%40schools.nyc.gov%7Cb6c810394cf545c7798e08d7cbfd2c77%7C18492cb7ef45456185710c42e5f7ac07%7C0%7C0%7C637202160537234730&amp;sdata=i1QNsgCWjZrxgLcb8p6I3M2grG%2FNHotcTTDQslsQpNo%3D&amp;reserved=0" TargetMode="External"/><Relationship Id="rId27" Type="http://schemas.openxmlformats.org/officeDocument/2006/relationships/hyperlink" Target="http://facebook.com/laura.pretorius" TargetMode="External"/><Relationship Id="rId29" Type="http://schemas.openxmlformats.org/officeDocument/2006/relationships/hyperlink" Target="https://nam01.safelinks.protection.outlook.com/ap/t-59584e83/?url=https%3A%2F%2Fteams.microsoft.com%2Fl%2Fmeetup-join%2F19%253ameeting_NDFmMDFkNDktMmE1MC00ZTA2LTk2OGUtNGNjMmNkMTViOTE0%2540thread.v2%2F0%3Fcontext%3D%257b%2522Tid%2522%253a%252272f988bf-86f1-41af-91ab-2d7cd011db47%2522%252c%2522Oid%2522%253a%25228ea22583-eedd-4a6f-9227-f17598f3b765%2522%257d&amp;data=02%7C01%7CRemotelearning%40schools.nyc.gov%7Cb6c810394cf545c7798e08d7cbfd2c77%7C18492cb7ef45456185710c42e5f7ac07%7C0%7C0%7C637202160537264714&amp;sdata=xZNpAxhqsoo4Unk%2FUqIrvn%2BLBIJXtOMzVVnwVFyjQcM%3D&amp;reserved=0" TargetMode="External"/><Relationship Id="rId95" Type="http://schemas.openxmlformats.org/officeDocument/2006/relationships/hyperlink" Target="https://d75stem.d75edu.com/" TargetMode="External"/><Relationship Id="rId94" Type="http://schemas.openxmlformats.org/officeDocument/2006/relationships/hyperlink" Target="https://us04web.zoom.us/j/216974476" TargetMode="External"/><Relationship Id="rId97"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96" Type="http://schemas.openxmlformats.org/officeDocument/2006/relationships/hyperlink" Target="https://twitter.com/seanmarnold" TargetMode="External"/><Relationship Id="rId11" Type="http://schemas.openxmlformats.org/officeDocument/2006/relationships/hyperlink" Target="https://nam01.safelinks.protection.outlook.com/ap/t-59584e83/?url=https%3A%2F%2Fteams.microsoft.com%2Fl%2Fmeetup-join%2F19%253ameeting_NDFmMDFkNDktMmE1MC00ZTA2LTk2OGUtNGNjMmNkMTViOTE0%2540thread.v2%2F0%3Fcontext%3D%257b%2522Tid%2522%253a%252272f988bf-86f1-41af-91ab-2d7cd011db47%2522%252c%2522Oid%2522%253a%25228ea22583-eedd-4a6f-9227-f17598f3b765%2522%257d&amp;data=02%7C01%7CRemotelearning%40schools.nyc.gov%7Cb6c810394cf545c7798e08d7cbfd2c77%7C18492cb7ef45456185710c42e5f7ac07%7C0%7C0%7C637202160537264714&amp;sdata=xZNpAxhqsoo4Unk%2FUqIrvn%2BLBIJXtOMzVVnwVFyjQcM%3D&amp;reserved=0" TargetMode="External"/><Relationship Id="rId99" Type="http://schemas.openxmlformats.org/officeDocument/2006/relationships/hyperlink" Target="https://nam01.safelinks.protection.outlook.com/ap/t-59584e83/?url=https%3A%2F%2Fteams.microsoft.com%2Fl%2Fmeetup-join%2F19%253ameeting_NDFmMDFkNDktMmE1MC00ZTA2LTk2OGUtNGNjMmNkMTViOTE0%2540thread.v2%2F0%3Fcontext%3D%257b%2522Tid%2522%253a%252272f988bf-86f1-41af-91ab-2d7cd011db47%2522%252c%2522Oid%2522%253a%25228ea22583-eedd-4a6f-9227-f17598f3b765%2522%257d&amp;data=02%7C01%7CRemotelearning%40schools.nyc.gov%7Cb6c810394cf545c7798e08d7cbfd2c77%7C18492cb7ef45456185710c42e5f7ac07%7C0%7C0%7C637202160537264714&amp;sdata=xZNpAxhqsoo4Unk%2FUqIrvn%2BLBIJXtOMzVVnwVFyjQcM%3D&amp;reserved=0" TargetMode="External"/><Relationship Id="rId10" Type="http://schemas.openxmlformats.org/officeDocument/2006/relationships/hyperlink" Target="https://nam01.safelinks.protection.outlook.com/ap/t-59584e83/?url=https%3A%2F%2Fteams.microsoft.com%2Fl%2Fmeetup-join%2F19%253ameeting_NmRiMGYzYTQtMTYwNS00NjkzLTk2ZTgtNGFjNGQ4ZTQ0M2Zi%2540thread.v2%2F0%3Fcontext%3D%257b%2522Tid%2522%253a%252272f988bf-86f1-41af-91ab-2d7cd011db47%2522%252c%2522Oid%2522%253a%25229d3e23ee-9154-4209-b172-1adeb5b6bddd%2522%257d&amp;data=02%7C01%7CRemotelearning%40schools.nyc.gov%7Cb6c810394cf545c7798e08d7cbfd2c77%7C18492cb7ef45456185710c42e5f7ac07%7C0%7C0%7C637202160537234730&amp;sdata=i1QNsgCWjZrxgLcb8p6I3M2grG%2FNHotcTTDQslsQpNo%3D&amp;reserved=0" TargetMode="External"/><Relationship Id="rId98" Type="http://schemas.openxmlformats.org/officeDocument/2006/relationships/hyperlink" Target="https://nam01.safelinks.protection.outlook.com/ap/t-59584e83/?url=https%3A%2F%2Fteams.microsoft.com%2Fl%2Fmeetup-join%2F19%253ameeting_NmRiMGYzYTQtMTYwNS00NjkzLTk2ZTgtNGFjNGQ4ZTQ0M2Zi%2540thread.v2%2F0%3Fcontext%3D%257b%2522Tid%2522%253a%252272f988bf-86f1-41af-91ab-2d7cd011db47%2522%252c%2522Oid%2522%253a%25229d3e23ee-9154-4209-b172-1adeb5b6bddd%2522%257d&amp;data=02%7C01%7CRemotelearning%40schools.nyc.gov%7Cb6c810394cf545c7798e08d7cbfd2c77%7C18492cb7ef45456185710c42e5f7ac07%7C0%7C0%7C637202160537234730&amp;sdata=i1QNsgCWjZrxgLcb8p6I3M2grG%2FNHotcTTDQslsQpNo%3D&amp;reserved=0" TargetMode="External"/><Relationship Id="rId13" Type="http://schemas.openxmlformats.org/officeDocument/2006/relationships/hyperlink" Target="https://nam01.safelinks.protection.outlook.com/ap/t-59584e83/?url=https%3A%2F%2Fteams.microsoft.com%2Fl%2Fmeetup-join%2F19%253ameeting_NmRiMGYzYTQtMTYwNS00NjkzLTk2ZTgtNGFjNGQ4ZTQ0M2Zi%2540thread.v2%2F0%3Fcontext%3D%257b%2522Tid%2522%253a%252272f988bf-86f1-41af-91ab-2d7cd011db47%2522%252c%2522Oid%2522%253a%25229d3e23ee-9154-4209-b172-1adeb5b6bddd%2522%257d&amp;data=02%7C01%7CRemotelearning%40schools.nyc.gov%7Cb6c810394cf545c7798e08d7cbfd2c77%7C18492cb7ef45456185710c42e5f7ac07%7C0%7C0%7C637202160537234730&amp;sdata=i1QNsgCWjZrxgLcb8p6I3M2grG%2FNHotcTTDQslsQpNo%3D&amp;reserved=0" TargetMode="External"/><Relationship Id="rId12"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91" Type="http://schemas.openxmlformats.org/officeDocument/2006/relationships/hyperlink" Target="https://d75stem.d75edu.com/" TargetMode="External"/><Relationship Id="rId90" Type="http://schemas.openxmlformats.org/officeDocument/2006/relationships/hyperlink" Target="https://teams.microsoft.com/l/meetup-join/19%3ad8ff77c2e2d5476bbcde9fe502289901%40thread.skype/1584904522677?context=%7b%22Tid%22%3a%2218492cb7-ef45-4561-8571-0c42e5f7ac07%22%2c%22Oid%22%3a%2223887be3-a68f-4f4a-baba-98ea4e2f07bb%22%7d" TargetMode="External"/><Relationship Id="rId93"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92" Type="http://schemas.openxmlformats.org/officeDocument/2006/relationships/hyperlink" Target="https://d75stem.d75edu.com/" TargetMode="External"/><Relationship Id="rId15" Type="http://schemas.openxmlformats.org/officeDocument/2006/relationships/hyperlink" Target="https://d75stem.d75edu.com/" TargetMode="External"/><Relationship Id="rId14" Type="http://schemas.openxmlformats.org/officeDocument/2006/relationships/hyperlink" Target="https://nam01.safelinks.protection.outlook.com/ap/t-59584e83/?url=https%3A%2F%2Fteams.microsoft.com%2Fl%2Fmeetup-join%2F19%253ameeting_NDFmMDFkNDktMmE1MC00ZTA2LTk2OGUtNGNjMmNkMTViOTE0%2540thread.v2%2F0%3Fcontext%3D%257b%2522Tid%2522%253a%252272f988bf-86f1-41af-91ab-2d7cd011db47%2522%252c%2522Oid%2522%253a%25228ea22583-eedd-4a6f-9227-f17598f3b765%2522%257d&amp;data=02%7C01%7CRemotelearning%40schools.nyc.gov%7Cb6c810394cf545c7798e08d7cbfd2c77%7C18492cb7ef45456185710c42e5f7ac07%7C0%7C0%7C637202160537264714&amp;sdata=xZNpAxhqsoo4Unk%2FUqIrvn%2BLBIJXtOMzVVnwVFyjQcM%3D&amp;reserved=0" TargetMode="External"/><Relationship Id="rId17" Type="http://schemas.openxmlformats.org/officeDocument/2006/relationships/hyperlink" Target="https://d75stem.d75edu.com/" TargetMode="External"/><Relationship Id="rId16" Type="http://schemas.openxmlformats.org/officeDocument/2006/relationships/hyperlink" Target="https://docs.google.com/document/d/1T_FQ3ejoQ5WRv1GnQMFsiIKszYgkUOryYr59Gd3d6pU/edit?usp=sharing" TargetMode="External"/><Relationship Id="rId19" Type="http://schemas.openxmlformats.org/officeDocument/2006/relationships/hyperlink" Target="https://d75stem.d75edu.com/" TargetMode="External"/><Relationship Id="rId18"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84" Type="http://schemas.openxmlformats.org/officeDocument/2006/relationships/hyperlink" Target="https://nam01.safelinks.protection.outlook.com/ap/t-59584e83/?url=https%3A%2F%2Fteams.microsoft.com%2Fl%2Fmeetup-join%2F19%253ameeting_NmRiMGYzYTQtMTYwNS00NjkzLTk2ZTgtNGFjNGQ4ZTQ0M2Zi%2540thread.v2%2F0%3Fcontext%3D%257b%2522Tid%2522%253a%252272f988bf-86f1-41af-91ab-2d7cd011db47%2522%252c%2522Oid%2522%253a%25229d3e23ee-9154-4209-b172-1adeb5b6bddd%2522%257d&amp;data=02%7C01%7CRemotelearning%40schools.nyc.gov%7Cb6c810394cf545c7798e08d7cbfd2c77%7C18492cb7ef45456185710c42e5f7ac07%7C0%7C0%7C637202160537234730&amp;sdata=i1QNsgCWjZrxgLcb8p6I3M2grG%2FNHotcTTDQslsQpNo%3D&amp;reserved=0" TargetMode="External"/><Relationship Id="rId83" Type="http://schemas.openxmlformats.org/officeDocument/2006/relationships/hyperlink" Target="https://twitter.com/seanmarnold" TargetMode="External"/><Relationship Id="rId86"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85" Type="http://schemas.openxmlformats.org/officeDocument/2006/relationships/hyperlink" Target="https://nam01.safelinks.protection.outlook.com/ap/t-59584e83/?url=https%3A%2F%2Fteams.microsoft.com%2Fl%2Fmeetup-join%2F19%253ameeting_NDFmMDFkNDktMmE1MC00ZTA2LTk2OGUtNGNjMmNkMTViOTE0%2540thread.v2%2F0%3Fcontext%3D%257b%2522Tid%2522%253a%252272f988bf-86f1-41af-91ab-2d7cd011db47%2522%252c%2522Oid%2522%253a%25228ea22583-eedd-4a6f-9227-f17598f3b765%2522%257d&amp;data=02%7C01%7CRemotelearning%40schools.nyc.gov%7Cb6c810394cf545c7798e08d7cbfd2c77%7C18492cb7ef45456185710c42e5f7ac07%7C0%7C0%7C637202160537264714&amp;sdata=xZNpAxhqsoo4Unk%2FUqIrvn%2BLBIJXtOMzVVnwVFyjQcM%3D&amp;reserved=0" TargetMode="External"/><Relationship Id="rId88" Type="http://schemas.openxmlformats.org/officeDocument/2006/relationships/hyperlink" Target="https://nam01.safelinks.protection.outlook.com/ap/t-59584e83/?url=https%3A%2F%2Fteams.microsoft.com%2Fl%2Fmeetup-join%2F19%253ameeting_NmRiMGYzYTQtMTYwNS00NjkzLTk2ZTgtNGFjNGQ4ZTQ0M2Zi%2540thread.v2%2F0%3Fcontext%3D%257b%2522Tid%2522%253a%252272f988bf-86f1-41af-91ab-2d7cd011db47%2522%252c%2522Oid%2522%253a%25229d3e23ee-9154-4209-b172-1adeb5b6bddd%2522%257d&amp;data=02%7C01%7CRemotelearning%40schools.nyc.gov%7Cb6c810394cf545c7798e08d7cbfd2c77%7C18492cb7ef45456185710c42e5f7ac07%7C0%7C0%7C637202160537234730&amp;sdata=i1QNsgCWjZrxgLcb8p6I3M2grG%2FNHotcTTDQslsQpNo%3D&amp;reserved=0" TargetMode="External"/><Relationship Id="rId87"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89" Type="http://schemas.openxmlformats.org/officeDocument/2006/relationships/hyperlink" Target="https://nam01.safelinks.protection.outlook.com/ap/t-59584e83/?url=https%3A%2F%2Fteams.microsoft.com%2Fl%2Fmeetup-join%2F19%253ameeting_NDFmMDFkNDktMmE1MC00ZTA2LTk2OGUtNGNjMmNkMTViOTE0%2540thread.v2%2F0%3Fcontext%3D%257b%2522Tid%2522%253a%252272f988bf-86f1-41af-91ab-2d7cd011db47%2522%252c%2522Oid%2522%253a%25228ea22583-eedd-4a6f-9227-f17598f3b765%2522%257d&amp;data=02%7C01%7CRemotelearning%40schools.nyc.gov%7Cb6c810394cf545c7798e08d7cbfd2c77%7C18492cb7ef45456185710c42e5f7ac07%7C0%7C0%7C637202160537264714&amp;sdata=xZNpAxhqsoo4Unk%2FUqIrvn%2BLBIJXtOMzVVnwVFyjQcM%3D&amp;reserved=0" TargetMode="External"/><Relationship Id="rId80" Type="http://schemas.openxmlformats.org/officeDocument/2006/relationships/hyperlink" Target="https://nam01.safelinks.protection.outlook.com/ap/t-59584e83/?url=https%3A%2F%2Fteams.microsoft.com%2Fl%2Fmeetup-join%2F19%253ameeting_NDFmMDFkNDktMmE1MC00ZTA2LTk2OGUtNGNjMmNkMTViOTE0%2540thread.v2%2F0%3Fcontext%3D%257b%2522Tid%2522%253a%252272f988bf-86f1-41af-91ab-2d7cd011db47%2522%252c%2522Oid%2522%253a%25228ea22583-eedd-4a6f-9227-f17598f3b765%2522%257d&amp;data=02%7C01%7CRemotelearning%40schools.nyc.gov%7Cb6c810394cf545c7798e08d7cbfd2c77%7C18492cb7ef45456185710c42e5f7ac07%7C0%7C0%7C637202160537264714&amp;sdata=xZNpAxhqsoo4Unk%2FUqIrvn%2BLBIJXtOMzVVnwVFyjQcM%3D&amp;reserved=0" TargetMode="External"/><Relationship Id="rId82" Type="http://schemas.openxmlformats.org/officeDocument/2006/relationships/hyperlink" Target="https://d75stem.d75edu.com/" TargetMode="External"/><Relationship Id="rId81" Type="http://schemas.openxmlformats.org/officeDocument/2006/relationships/hyperlink" Target="https://us04web.zoom.us/j/662487347" TargetMode="External"/><Relationship Id="rId1" Type="http://schemas.openxmlformats.org/officeDocument/2006/relationships/hyperlink" Target="http://facebook.com/laura.pretorius" TargetMode="External"/><Relationship Id="rId2" Type="http://schemas.openxmlformats.org/officeDocument/2006/relationships/hyperlink" Target="https://nam01.safelinks.protection.outlook.com/ap/t-59584e83/?url=https%3A%2F%2Fteams.microsoft.com%2Fl%2Fmeetup-join%2F19%253ameeting_NmRiMGYzYTQtMTYwNS00NjkzLTk2ZTgtNGFjNGQ4ZTQ0M2Zi%2540thread.v2%2F0%3Fcontext%3D%257b%2522Tid%2522%253a%252272f988bf-86f1-41af-91ab-2d7cd011db47%2522%252c%2522Oid%2522%253a%25229d3e23ee-9154-4209-b172-1adeb5b6bddd%2522%257d&amp;data=02%7C01%7CRemotelearning%40schools.nyc.gov%7Cb6c810394cf545c7798e08d7cbfd2c77%7C18492cb7ef45456185710c42e5f7ac07%7C0%7C0%7C637202160537234730&amp;sdata=i1QNsgCWjZrxgLcb8p6I3M2grG%2FNHotcTTDQslsQpNo%3D&amp;reserved=0" TargetMode="External"/><Relationship Id="rId3" Type="http://schemas.openxmlformats.org/officeDocument/2006/relationships/hyperlink" Target="https://nam01.safelinks.protection.outlook.com/ap/t-59584e83/?url=https%3A%2F%2Fteams.microsoft.com%2Fl%2Fmeetup-join%2F19%253ameeting_NDFmMDFkNDktMmE1MC00ZTA2LTk2OGUtNGNjMmNkMTViOTE0%2540thread.v2%2F0%3Fcontext%3D%257b%2522Tid%2522%253a%252272f988bf-86f1-41af-91ab-2d7cd011db47%2522%252c%2522Oid%2522%253a%25228ea22583-eedd-4a6f-9227-f17598f3b765%2522%257d&amp;data=02%7C01%7CRemotelearning%40schools.nyc.gov%7Cb6c810394cf545c7798e08d7cbfd2c77%7C18492cb7ef45456185710c42e5f7ac07%7C0%7C0%7C637202160537264714&amp;sdata=xZNpAxhqsoo4Unk%2FUqIrvn%2BLBIJXtOMzVVnwVFyjQcM%3D&amp;reserved=0" TargetMode="External"/><Relationship Id="rId4" Type="http://schemas.openxmlformats.org/officeDocument/2006/relationships/hyperlink" Target="https://teams.microsoft.com/l/meetup-join/19%3ameeting_MjM5ZjM2OTgtOWQyMS00N2E3LWEwMDctNDk0ZGFmMTY5NzVm%40thread.v2/0?context=%7b%22Tid%22%3a%2218492cb7-ef45-4561-8571-0c42e5f7ac07%22%2c%22Oid%22%3a%221a775150-237a-4709-8e4c-9c38f405aec6%22%7d" TargetMode="External"/><Relationship Id="rId9" Type="http://schemas.openxmlformats.org/officeDocument/2006/relationships/hyperlink" Target="https://teams.microsoft.com/l/meetup-join/19%3ameeting_MjM5ZjM2OTgtOWQyMS00N2E3LWEwMDctNDk0ZGFmMTY5NzVm%40thread.v2/0?context=%7b%22Tid%22%3a%2218492cb7-ef45-4561-8571-0c42e5f7ac07%22%2c%22Oid%22%3a%221a775150-237a-4709-8e4c-9c38f405aec6%22%7d" TargetMode="External"/><Relationship Id="rId5" Type="http://schemas.openxmlformats.org/officeDocument/2006/relationships/hyperlink" Target="https://teams.microsoft.com/l/meetup-join/19%3ameeting_MjM5ZjM2OTgtOWQyMS00N2E3LWEwMDctNDk0ZGFmMTY5NzVm%40thread.v2/0?context=%7b%22Tid%22%3a%2218492cb7-ef45-4561-8571-0c42e5f7ac07%22%2c%22Oid%22%3a%221a775150-237a-4709-8e4c-9c38f405aec6%22%7d" TargetMode="External"/><Relationship Id="rId6" Type="http://schemas.openxmlformats.org/officeDocument/2006/relationships/hyperlink" Target="https://nam01.safelinks.protection.outlook.com/ap/t-59584e83/?url=https%3A%2F%2Fteams.microsoft.com%2Fl%2Fmeetup-join%2F19%253ameeting_NmRiMGYzYTQtMTYwNS00NjkzLTk2ZTgtNGFjNGQ4ZTQ0M2Zi%2540thread.v2%2F0%3Fcontext%3D%257b%2522Tid%2522%253a%252272f988bf-86f1-41af-91ab-2d7cd011db47%2522%252c%2522Oid%2522%253a%25229d3e23ee-9154-4209-b172-1adeb5b6bddd%2522%257d&amp;data=02%7C01%7CRemotelearning%40schools.nyc.gov%7Cb6c810394cf545c7798e08d7cbfd2c77%7C18492cb7ef45456185710c42e5f7ac07%7C0%7C0%7C637202160537234730&amp;sdata=i1QNsgCWjZrxgLcb8p6I3M2grG%2FNHotcTTDQslsQpNo%3D&amp;reserved=0" TargetMode="External"/><Relationship Id="rId7" Type="http://schemas.openxmlformats.org/officeDocument/2006/relationships/hyperlink" Target="https://nam01.safelinks.protection.outlook.com/ap/t-59584e83/?url=https%3A%2F%2Fteams.microsoft.com%2Fl%2Fmeetup-join%2F19%253ameeting_NDFmMDFkNDktMmE1MC00ZTA2LTk2OGUtNGNjMmNkMTViOTE0%2540thread.v2%2F0%3Fcontext%3D%257b%2522Tid%2522%253a%252272f988bf-86f1-41af-91ab-2d7cd011db47%2522%252c%2522Oid%2522%253a%25228ea22583-eedd-4a6f-9227-f17598f3b765%2522%257d&amp;data=02%7C01%7CRemotelearning%40schools.nyc.gov%7Cb6c810394cf545c7798e08d7cbfd2c77%7C18492cb7ef45456185710c42e5f7ac07%7C0%7C0%7C637202160537264714&amp;sdata=xZNpAxhqsoo4Unk%2FUqIrvn%2BLBIJXtOMzVVnwVFyjQcM%3D&amp;reserved=0" TargetMode="External"/><Relationship Id="rId8" Type="http://schemas.openxmlformats.org/officeDocument/2006/relationships/hyperlink" Target="https://teams.microsoft.com/l/meetup-join/19%3ameeting_MjM5ZjM2OTgtOWQyMS00N2E3LWEwMDctNDk0ZGFmMTY5NzVm%40thread.v2/0?context=%7b%22Tid%22%3a%2218492cb7-ef45-4561-8571-0c42e5f7ac07%22%2c%22Oid%22%3a%221a775150-237a-4709-8e4c-9c38f405aec6%22%7d" TargetMode="External"/><Relationship Id="rId73"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72" Type="http://schemas.openxmlformats.org/officeDocument/2006/relationships/hyperlink" Target="https://d75stem.d75edu.com/" TargetMode="External"/><Relationship Id="rId75" Type="http://schemas.openxmlformats.org/officeDocument/2006/relationships/hyperlink" Target="https://us04web.zoom.us/j/216974476" TargetMode="External"/><Relationship Id="rId74"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77" Type="http://schemas.openxmlformats.org/officeDocument/2006/relationships/hyperlink" Target="https://twitter.com/seanmarnold" TargetMode="External"/><Relationship Id="rId76" Type="http://schemas.openxmlformats.org/officeDocument/2006/relationships/hyperlink" Target="https://d75stem.d75edu.com/" TargetMode="External"/><Relationship Id="rId79" Type="http://schemas.openxmlformats.org/officeDocument/2006/relationships/hyperlink" Target="https://nam01.safelinks.protection.outlook.com/ap/t-59584e83/?url=https%3A%2F%2Fteams.microsoft.com%2Fl%2Fmeetup-join%2F19%253ameeting_NmRiMGYzYTQtMTYwNS00NjkzLTk2ZTgtNGFjNGQ4ZTQ0M2Zi%2540thread.v2%2F0%3Fcontext%3D%257b%2522Tid%2522%253a%252272f988bf-86f1-41af-91ab-2d7cd011db47%2522%252c%2522Oid%2522%253a%25229d3e23ee-9154-4209-b172-1adeb5b6bddd%2522%257d&amp;data=02%7C01%7CRemotelearning%40schools.nyc.gov%7Cb6c810394cf545c7798e08d7cbfd2c77%7C18492cb7ef45456185710c42e5f7ac07%7C0%7C0%7C637202160537234730&amp;sdata=i1QNsgCWjZrxgLcb8p6I3M2grG%2FNHotcTTDQslsQpNo%3D&amp;reserved=0" TargetMode="External"/><Relationship Id="rId78" Type="http://schemas.openxmlformats.org/officeDocument/2006/relationships/hyperlink" Target="https://d75stem.d75edu.com/" TargetMode="External"/><Relationship Id="rId71" Type="http://schemas.openxmlformats.org/officeDocument/2006/relationships/hyperlink" Target="https://d75stem.d75edu.com/" TargetMode="External"/><Relationship Id="rId70" Type="http://schemas.openxmlformats.org/officeDocument/2006/relationships/hyperlink" Target="https://teams.microsoft.com/l/meetup-join/19%3ad8ff77c2e2d5476bbcde9fe502289901%40thread.skype/1584904522677?context=%7b%22Tid%22%3a%2218492cb7-ef45-4561-8571-0c42e5f7ac07%22%2c%22Oid%22%3a%2223887be3-a68f-4f4a-baba-98ea4e2f07bb%22%7d" TargetMode="External"/><Relationship Id="rId62" Type="http://schemas.openxmlformats.org/officeDocument/2006/relationships/hyperlink" Target="https://d75stem.d75edu.com/" TargetMode="External"/><Relationship Id="rId61" Type="http://schemas.openxmlformats.org/officeDocument/2006/relationships/hyperlink" Target="https://us04web.zoom.us/j/662487347" TargetMode="External"/><Relationship Id="rId64" Type="http://schemas.openxmlformats.org/officeDocument/2006/relationships/hyperlink" Target="https://nam01.safelinks.protection.outlook.com/ap/t-59584e83/?url=https%3A%2F%2Fteams.microsoft.com%2Fl%2Fmeetup-join%2F19%253ameeting_NmRiMGYzYTQtMTYwNS00NjkzLTk2ZTgtNGFjNGQ4ZTQ0M2Zi%2540thread.v2%2F0%3Fcontext%3D%257b%2522Tid%2522%253a%252272f988bf-86f1-41af-91ab-2d7cd011db47%2522%252c%2522Oid%2522%253a%25229d3e23ee-9154-4209-b172-1adeb5b6bddd%2522%257d&amp;data=02%7C01%7CRemotelearning%40schools.nyc.gov%7Cb6c810394cf545c7798e08d7cbfd2c77%7C18492cb7ef45456185710c42e5f7ac07%7C0%7C0%7C637202160537234730&amp;sdata=i1QNsgCWjZrxgLcb8p6I3M2grG%2FNHotcTTDQslsQpNo%3D&amp;reserved=0" TargetMode="External"/><Relationship Id="rId63" Type="http://schemas.openxmlformats.org/officeDocument/2006/relationships/hyperlink" Target="https://twitter.com/seanmarnold" TargetMode="External"/><Relationship Id="rId66"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65" Type="http://schemas.openxmlformats.org/officeDocument/2006/relationships/hyperlink" Target="https://nam01.safelinks.protection.outlook.com/ap/t-59584e83/?url=https%3A%2F%2Fteams.microsoft.com%2Fl%2Fmeetup-join%2F19%253ameeting_NDFmMDFkNDktMmE1MC00ZTA2LTk2OGUtNGNjMmNkMTViOTE0%2540thread.v2%2F0%3Fcontext%3D%257b%2522Tid%2522%253a%252272f988bf-86f1-41af-91ab-2d7cd011db47%2522%252c%2522Oid%2522%253a%25228ea22583-eedd-4a6f-9227-f17598f3b765%2522%257d&amp;data=02%7C01%7CRemotelearning%40schools.nyc.gov%7Cb6c810394cf545c7798e08d7cbfd2c77%7C18492cb7ef45456185710c42e5f7ac07%7C0%7C0%7C637202160537264714&amp;sdata=xZNpAxhqsoo4Unk%2FUqIrvn%2BLBIJXtOMzVVnwVFyjQcM%3D&amp;reserved=0" TargetMode="External"/><Relationship Id="rId68" Type="http://schemas.openxmlformats.org/officeDocument/2006/relationships/hyperlink" Target="https://nam01.safelinks.protection.outlook.com/ap/t-59584e83/?url=https%3A%2F%2Fteams.microsoft.com%2Fl%2Fmeetup-join%2F19%253ameeting_NmRiMGYzYTQtMTYwNS00NjkzLTk2ZTgtNGFjNGQ4ZTQ0M2Zi%2540thread.v2%2F0%3Fcontext%3D%257b%2522Tid%2522%253a%252272f988bf-86f1-41af-91ab-2d7cd011db47%2522%252c%2522Oid%2522%253a%25229d3e23ee-9154-4209-b172-1adeb5b6bddd%2522%257d&amp;data=02%7C01%7CRemotelearning%40schools.nyc.gov%7Cb6c810394cf545c7798e08d7cbfd2c77%7C18492cb7ef45456185710c42e5f7ac07%7C0%7C0%7C637202160537234730&amp;sdata=i1QNsgCWjZrxgLcb8p6I3M2grG%2FNHotcTTDQslsQpNo%3D&amp;reserved=0" TargetMode="External"/><Relationship Id="rId67"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60" Type="http://schemas.openxmlformats.org/officeDocument/2006/relationships/hyperlink" Target="https://nam01.safelinks.protection.outlook.com/ap/t-59584e83/?url=https%3A%2F%2Fteams.microsoft.com%2Fl%2Fmeetup-join%2F19%253ameeting_NDFmMDFkNDktMmE1MC00ZTA2LTk2OGUtNGNjMmNkMTViOTE0%2540thread.v2%2F0%3Fcontext%3D%257b%2522Tid%2522%253a%252272f988bf-86f1-41af-91ab-2d7cd011db47%2522%252c%2522Oid%2522%253a%25228ea22583-eedd-4a6f-9227-f17598f3b765%2522%257d&amp;data=02%7C01%7CRemotelearning%40schools.nyc.gov%7Cb6c810394cf545c7798e08d7cbfd2c77%7C18492cb7ef45456185710c42e5f7ac07%7C0%7C0%7C637202160537264714&amp;sdata=xZNpAxhqsoo4Unk%2FUqIrvn%2BLBIJXtOMzVVnwVFyjQcM%3D&amp;reserved=0" TargetMode="External"/><Relationship Id="rId69" Type="http://schemas.openxmlformats.org/officeDocument/2006/relationships/hyperlink" Target="https://nam01.safelinks.protection.outlook.com/ap/t-59584e83/?url=https%3A%2F%2Fteams.microsoft.com%2Fl%2Fmeetup-join%2F19%253ameeting_NDFmMDFkNDktMmE1MC00ZTA2LTk2OGUtNGNjMmNkMTViOTE0%2540thread.v2%2F0%3Fcontext%3D%257b%2522Tid%2522%253a%252272f988bf-86f1-41af-91ab-2d7cd011db47%2522%252c%2522Oid%2522%253a%25228ea22583-eedd-4a6f-9227-f17598f3b765%2522%257d&amp;data=02%7C01%7CRemotelearning%40schools.nyc.gov%7Cb6c810394cf545c7798e08d7cbfd2c77%7C18492cb7ef45456185710c42e5f7ac07%7C0%7C0%7C637202160537264714&amp;sdata=xZNpAxhqsoo4Unk%2FUqIrvn%2BLBIJXtOMzVVnwVFyjQcM%3D&amp;reserved=0" TargetMode="External"/><Relationship Id="rId51" Type="http://schemas.openxmlformats.org/officeDocument/2006/relationships/hyperlink" Target="https://teams.microsoft.com/l/meetup-join/19%3ad8ff77c2e2d5476bbcde9fe502289901%40thread.skype/1584904522677?context=%7b%22Tid%22%3a%2218492cb7-ef45-4561-8571-0c42e5f7ac07%22%2c%22Oid%22%3a%2223887be3-a68f-4f4a-baba-98ea4e2f07bb%22%7d" TargetMode="External"/><Relationship Id="rId50" Type="http://schemas.openxmlformats.org/officeDocument/2006/relationships/hyperlink" Target="https://nam01.safelinks.protection.outlook.com/ap/t-59584e83/?url=https%3A%2F%2Fteams.microsoft.com%2Fl%2Fmeetup-join%2F19%253ameeting_NDFmMDFkNDktMmE1MC00ZTA2LTk2OGUtNGNjMmNkMTViOTE0%2540thread.v2%2F0%3Fcontext%3D%257b%2522Tid%2522%253a%252272f988bf-86f1-41af-91ab-2d7cd011db47%2522%252c%2522Oid%2522%253a%25228ea22583-eedd-4a6f-9227-f17598f3b765%2522%257d&amp;data=02%7C01%7CRemotelearning%40schools.nyc.gov%7Cb6c810394cf545c7798e08d7cbfd2c77%7C18492cb7ef45456185710c42e5f7ac07%7C0%7C0%7C637202160537264714&amp;sdata=xZNpAxhqsoo4Unk%2FUqIrvn%2BLBIJXtOMzVVnwVFyjQcM%3D&amp;reserved=0" TargetMode="External"/><Relationship Id="rId53" Type="http://schemas.openxmlformats.org/officeDocument/2006/relationships/hyperlink" Target="https://d75stem.d75edu.com/" TargetMode="External"/><Relationship Id="rId52" Type="http://schemas.openxmlformats.org/officeDocument/2006/relationships/hyperlink" Target="https://d75stem.d75edu.com/" TargetMode="External"/><Relationship Id="rId55" Type="http://schemas.openxmlformats.org/officeDocument/2006/relationships/hyperlink" Target="https://us04web.zoom.us/j/216974476" TargetMode="External"/><Relationship Id="rId54"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 Id="rId57" Type="http://schemas.openxmlformats.org/officeDocument/2006/relationships/hyperlink" Target="https://twitter.com/seanmarnold" TargetMode="External"/><Relationship Id="rId56" Type="http://schemas.openxmlformats.org/officeDocument/2006/relationships/hyperlink" Target="https://d75stem.d75edu.com/" TargetMode="External"/><Relationship Id="rId59" Type="http://schemas.openxmlformats.org/officeDocument/2006/relationships/hyperlink" Target="https://nam01.safelinks.protection.outlook.com/ap/t-59584e83/?url=https%3A%2F%2Fteams.microsoft.com%2Fl%2Fmeetup-join%2F19%253ameeting_NmRiMGYzYTQtMTYwNS00NjkzLTk2ZTgtNGFjNGQ4ZTQ0M2Zi%2540thread.v2%2F0%3Fcontext%3D%257b%2522Tid%2522%253a%252272f988bf-86f1-41af-91ab-2d7cd011db47%2522%252c%2522Oid%2522%253a%25229d3e23ee-9154-4209-b172-1adeb5b6bddd%2522%257d&amp;data=02%7C01%7CRemotelearning%40schools.nyc.gov%7Cb6c810394cf545c7798e08d7cbfd2c77%7C18492cb7ef45456185710c42e5f7ac07%7C0%7C0%7C637202160537234730&amp;sdata=i1QNsgCWjZrxgLcb8p6I3M2grG%2FNHotcTTDQslsQpNo%3D&amp;reserved=0" TargetMode="External"/><Relationship Id="rId58" Type="http://schemas.openxmlformats.org/officeDocument/2006/relationships/hyperlink" Target="https://teams.microsoft.com/l/meetup-join/19%3ameeting_YmFjZTJiNTktMDBlZC00ZTkzLTkwZjktODAzNDcyNGE3NmQz%40thread.v2/0?context=%7b%22Tid%22%3a%2218492cb7-ef45-4561-8571-0c42e5f7ac07%22%2c%22Oid%22%3a%221cabf359-ac43-4110-9ed8-f776df6f9d3c%22%7d"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brennan@apple.com" TargetMode="External"/><Relationship Id="rId2" Type="http://schemas.openxmlformats.org/officeDocument/2006/relationships/hyperlink" Target="http://s.apple.com/dE0a9r5z0Y" TargetMode="External"/><Relationship Id="rId3"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1" Type="http://schemas.openxmlformats.org/officeDocument/2006/relationships/hyperlink" Target="http://s.apple.com/dE4O0o0x7u" TargetMode="External"/><Relationship Id="rId10" Type="http://schemas.openxmlformats.org/officeDocument/2006/relationships/hyperlink" Target="mailto:tbrennan@apple.com" TargetMode="External"/><Relationship Id="rId13" Type="http://schemas.openxmlformats.org/officeDocument/2006/relationships/drawing" Target="../drawings/drawing8.xml"/><Relationship Id="rId12" Type="http://schemas.openxmlformats.org/officeDocument/2006/relationships/hyperlink" Target="http://s.apple.com/dE4O0o0x7u" TargetMode="External"/><Relationship Id="rId1" Type="http://schemas.openxmlformats.org/officeDocument/2006/relationships/hyperlink" Target="mailto:tbrennan@apple.com" TargetMode="External"/><Relationship Id="rId2" Type="http://schemas.openxmlformats.org/officeDocument/2006/relationships/hyperlink" Target="http://s.apple.com/dE0B2U9d2K" TargetMode="External"/><Relationship Id="rId3" Type="http://schemas.openxmlformats.org/officeDocument/2006/relationships/hyperlink" Target="mailto:tbrennan@apple.com" TargetMode="External"/><Relationship Id="rId4" Type="http://schemas.openxmlformats.org/officeDocument/2006/relationships/hyperlink" Target="mailto:tbrennan@apple.com" TargetMode="External"/><Relationship Id="rId9" Type="http://schemas.openxmlformats.org/officeDocument/2006/relationships/hyperlink" Target="http://s.apple.com/dE4q5Z8R9A" TargetMode="External"/><Relationship Id="rId5" Type="http://schemas.openxmlformats.org/officeDocument/2006/relationships/hyperlink" Target="http://s.apple.com/dE4w0o7i6n" TargetMode="External"/><Relationship Id="rId6" Type="http://schemas.openxmlformats.org/officeDocument/2006/relationships/hyperlink" Target="http://s.apple.com/dE4w0o7i6n" TargetMode="External"/><Relationship Id="rId7" Type="http://schemas.openxmlformats.org/officeDocument/2006/relationships/hyperlink" Target="http://s.apple.com/dE0B9r3x3N" TargetMode="External"/><Relationship Id="rId8" Type="http://schemas.openxmlformats.org/officeDocument/2006/relationships/hyperlink" Target="http://s.apple.com/dE0R6T9g4O"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D966"/>
    <outlinePr summaryBelow="0" summaryRight="0"/>
    <pageSetUpPr fitToPage="1"/>
  </sheetPr>
  <sheetViews>
    <sheetView workbookViewId="0">
      <pane xSplit="7.0" ySplit="1.0" topLeftCell="H2" activePane="bottomRight" state="frozen"/>
      <selection activeCell="H1" sqref="H1" pane="topRight"/>
      <selection activeCell="A2" sqref="A2" pane="bottomLeft"/>
      <selection activeCell="H2" sqref="H2" pane="bottomRight"/>
    </sheetView>
  </sheetViews>
  <sheetFormatPr customHeight="1" defaultColWidth="14.43" defaultRowHeight="15.75"/>
  <cols>
    <col customWidth="1" hidden="1" min="1" max="1" width="21.57"/>
    <col customWidth="1" hidden="1" min="2" max="2" width="14.0"/>
    <col customWidth="1" hidden="1" min="3" max="3" width="12.86"/>
    <col customWidth="1" hidden="1" min="4" max="4" width="21.57"/>
    <col customWidth="1" min="5" max="5" width="6.86"/>
    <col customWidth="1" min="6" max="6" width="6.14"/>
    <col customWidth="1" min="7" max="7" width="48.86"/>
    <col customWidth="1" hidden="1" min="8" max="8" width="21.14"/>
    <col customWidth="1" min="9" max="9" width="20.57"/>
    <col customWidth="1" min="10" max="10" width="29.29"/>
    <col customWidth="1" min="11" max="11" width="25.43"/>
    <col customWidth="1" min="12" max="12" width="23.71"/>
    <col customWidth="1" min="13" max="13" width="21.14"/>
    <col customWidth="1" min="14" max="14" width="12.71"/>
    <col customWidth="1" min="15" max="15" width="102.71"/>
    <col customWidth="1" hidden="1" min="16" max="16" width="7.0"/>
    <col customWidth="1" hidden="1" min="17" max="18" width="21.57"/>
  </cols>
  <sheetData>
    <row r="1" ht="26.25" customHeight="1">
      <c r="A1" s="1" t="s">
        <v>0</v>
      </c>
      <c r="B1" s="3" t="s">
        <v>2</v>
      </c>
      <c r="C1" s="3" t="s">
        <v>4</v>
      </c>
      <c r="D1" s="3" t="s">
        <v>6</v>
      </c>
      <c r="E1" s="5"/>
      <c r="F1" s="7" t="s">
        <v>9</v>
      </c>
      <c r="G1" s="7" t="s">
        <v>11</v>
      </c>
      <c r="H1" s="7" t="s">
        <v>12</v>
      </c>
      <c r="I1" s="7" t="s">
        <v>13</v>
      </c>
      <c r="J1" s="7" t="s">
        <v>15</v>
      </c>
      <c r="K1" s="7" t="s">
        <v>16</v>
      </c>
      <c r="L1" s="7" t="s">
        <v>17</v>
      </c>
      <c r="M1" s="7" t="s">
        <v>18</v>
      </c>
      <c r="N1" s="7" t="s">
        <v>19</v>
      </c>
      <c r="O1" s="18" t="s">
        <v>20</v>
      </c>
      <c r="P1" s="3" t="s">
        <v>22</v>
      </c>
      <c r="Q1" s="3" t="s">
        <v>23</v>
      </c>
      <c r="R1" s="3" t="s">
        <v>24</v>
      </c>
    </row>
    <row r="2" ht="17.25" customHeight="1">
      <c r="A2" s="23"/>
      <c r="B2" s="25"/>
      <c r="C2" s="25"/>
      <c r="D2" s="27"/>
      <c r="F2" s="29"/>
      <c r="G2" s="30"/>
      <c r="H2" s="31"/>
      <c r="I2" s="32"/>
      <c r="J2" s="33"/>
      <c r="K2" s="25"/>
      <c r="L2" s="34"/>
      <c r="M2" s="35" t="s">
        <v>31</v>
      </c>
      <c r="N2" s="38">
        <f>sum(N3:N24)</f>
        <v>1525</v>
      </c>
      <c r="O2" s="30"/>
      <c r="P2" s="25"/>
      <c r="Q2" s="40"/>
      <c r="R2" s="40"/>
    </row>
    <row r="3" ht="17.25" customHeight="1">
      <c r="A3" s="42"/>
      <c r="B3" s="44"/>
      <c r="C3" s="44"/>
      <c r="D3" s="46"/>
      <c r="E3" s="47" t="s">
        <v>36</v>
      </c>
      <c r="F3" s="50">
        <v>43916.0</v>
      </c>
      <c r="G3" s="53" t="s">
        <v>40</v>
      </c>
      <c r="H3" s="54"/>
      <c r="I3" s="59" t="s">
        <v>43</v>
      </c>
      <c r="J3" s="66" t="str">
        <f>HYPERLINK("https://teams.microsoft.com/l/meetup-join/19%3ameeting_YzhkZDFkMjItYjBmMy00ZmUyLWJkZWUtYzE5ZGZlNjk0N2Qw%40thread.v2/0?context=%7b%22Tid%22%3a%2218492cb7-ef45-4561-8571-0c42e5f7ac07%22%2c%22Oid%22%3a%22330b8c37-6819-4c0a-ba6b-72395a392551%22%7d","Join Microsoft Teams Meeting")</f>
        <v>Join Microsoft Teams Meeting</v>
      </c>
      <c r="K3" s="44" t="s">
        <v>52</v>
      </c>
      <c r="L3" s="67" t="s">
        <v>53</v>
      </c>
      <c r="M3" s="54"/>
      <c r="N3" s="68">
        <v>70.0</v>
      </c>
      <c r="O3" s="53" t="s">
        <v>54</v>
      </c>
      <c r="P3" s="44"/>
      <c r="Q3" s="64" t="s">
        <v>55</v>
      </c>
      <c r="R3" s="64"/>
    </row>
    <row r="4" ht="17.25" customHeight="1">
      <c r="A4" s="42"/>
      <c r="B4" s="44"/>
      <c r="C4" s="44"/>
      <c r="D4" s="46"/>
      <c r="E4" s="47" t="s">
        <v>36</v>
      </c>
      <c r="F4" s="50">
        <v>43916.0</v>
      </c>
      <c r="G4" s="53" t="s">
        <v>58</v>
      </c>
      <c r="H4" s="54"/>
      <c r="I4" s="59" t="s">
        <v>43</v>
      </c>
      <c r="J4" s="71" t="str">
        <f>HYPERLINK("https://teams.microsoft.com/l/meetup-join/19%3ameeting_MTM3ZTM0NWItYzk2NC00ZDE4LWE5MjEtNWEyM2IxNjcwNWI4%40thread.v2/0?context=%7b%22Tid%22%3a%2218492cb7-ef45-4561-8571-0c42e5f7ac07%22%2c%22Oid%22%3a%22330b8c37-6819-4c0a-ba6b-72395a392551%22%7d","Join Microsoft Teams Meeting")</f>
        <v>Join Microsoft Teams Meeting</v>
      </c>
      <c r="K4" s="44" t="s">
        <v>52</v>
      </c>
      <c r="L4" s="67" t="s">
        <v>60</v>
      </c>
      <c r="M4" s="54"/>
      <c r="N4" s="68">
        <v>68.0</v>
      </c>
      <c r="O4" s="72" t="s">
        <v>61</v>
      </c>
      <c r="P4" s="44"/>
      <c r="Q4" s="64" t="s">
        <v>55</v>
      </c>
      <c r="R4" s="64"/>
    </row>
    <row r="5" ht="17.25" customHeight="1">
      <c r="A5" s="73"/>
      <c r="B5" s="74"/>
      <c r="C5" s="74"/>
      <c r="D5" s="74"/>
      <c r="E5" s="47" t="s">
        <v>36</v>
      </c>
      <c r="F5" s="50">
        <v>43916.0</v>
      </c>
      <c r="G5" s="43" t="s">
        <v>65</v>
      </c>
      <c r="H5" s="75" t="s">
        <v>66</v>
      </c>
      <c r="I5" s="59" t="s">
        <v>66</v>
      </c>
      <c r="J5" s="79" t="s">
        <v>69</v>
      </c>
      <c r="K5" s="83" t="s">
        <v>80</v>
      </c>
      <c r="L5" s="89" t="s">
        <v>80</v>
      </c>
      <c r="M5" s="90" t="str">
        <f>HYPERLINK("https://d75stem.d75edu.com/","STEM Site")</f>
        <v>STEM Site</v>
      </c>
      <c r="N5" s="91"/>
      <c r="O5" s="92" t="s">
        <v>99</v>
      </c>
      <c r="P5" s="74"/>
      <c r="Q5" s="75" t="s">
        <v>100</v>
      </c>
      <c r="R5" s="74"/>
    </row>
    <row r="6" ht="17.25" customHeight="1">
      <c r="A6" s="93"/>
      <c r="B6" s="44"/>
      <c r="C6" s="44"/>
      <c r="D6" s="46"/>
      <c r="E6" s="47" t="s">
        <v>36</v>
      </c>
      <c r="F6" s="50">
        <v>43916.0</v>
      </c>
      <c r="G6" s="53" t="s">
        <v>103</v>
      </c>
      <c r="H6" s="54"/>
      <c r="I6" s="57" t="s">
        <v>104</v>
      </c>
      <c r="J6" s="71" t="str">
        <f>HYPERLINK("https://www.discoveryeducation.com/learn/den-virtcon-better-together/","Join Virtual Conference")</f>
        <v>Join Virtual Conference</v>
      </c>
      <c r="K6" s="44" t="s">
        <v>103</v>
      </c>
      <c r="L6" s="67"/>
      <c r="M6" s="80"/>
      <c r="N6" s="68"/>
      <c r="O6" s="96" t="s">
        <v>108</v>
      </c>
      <c r="P6" s="44"/>
      <c r="Q6" s="64"/>
      <c r="R6" s="64"/>
    </row>
    <row r="7" ht="17.25" customHeight="1">
      <c r="A7" s="93"/>
      <c r="B7" s="44"/>
      <c r="C7" s="44"/>
      <c r="D7" s="46"/>
      <c r="E7" s="47" t="s">
        <v>36</v>
      </c>
      <c r="F7" s="50">
        <v>43916.0</v>
      </c>
      <c r="G7" s="53" t="s">
        <v>111</v>
      </c>
      <c r="H7" s="54"/>
      <c r="I7" s="57" t="s">
        <v>113</v>
      </c>
      <c r="J7" s="71" t="str">
        <f>HYPERLINK("https://teams.microsoft.com/l/meetup-join/19%3ameeting_NzI3YjM1MDktY2IwMi00Mjc4LTg3NTEtMDc3MjRhYTBjMGNh%40thread.v2/0?context=%7B%22Tid%22%3A%2272f988bf-86f1-41af-91ab-2d7cd011db47%22%2C%22Oid%22%3A%22addd7b3b-8a0e-4b3a-b408-8b241062970f%22%2C%22IsBroadca"&amp;"stMeeting%22%3Atrue%7D","Join the Flipgrid Meeting")</f>
        <v>Join the Flipgrid Meeting</v>
      </c>
      <c r="K7" s="44" t="s">
        <v>119</v>
      </c>
      <c r="L7" s="67"/>
      <c r="M7" s="80" t="str">
        <f>HYPERLINK("http://blog.flipgrid.com/flipgridpd","Flipgrid event")</f>
        <v>Flipgrid event</v>
      </c>
      <c r="N7" s="68"/>
      <c r="O7" s="53"/>
      <c r="P7" s="44"/>
      <c r="Q7" s="64" t="s">
        <v>119</v>
      </c>
      <c r="R7" s="64"/>
    </row>
    <row r="8" ht="26.25" customHeight="1">
      <c r="A8" s="73"/>
      <c r="B8" s="74"/>
      <c r="C8" s="74"/>
      <c r="D8" s="74"/>
      <c r="E8" s="47" t="s">
        <v>36</v>
      </c>
      <c r="F8" s="50">
        <v>43916.0</v>
      </c>
      <c r="G8" s="102" t="s">
        <v>125</v>
      </c>
      <c r="H8" s="74"/>
      <c r="I8" s="103" t="s">
        <v>45</v>
      </c>
      <c r="J8" s="107" t="s">
        <v>126</v>
      </c>
      <c r="K8" s="109" t="s">
        <v>137</v>
      </c>
      <c r="L8" s="72" t="s">
        <v>139</v>
      </c>
      <c r="M8" s="80" t="str">
        <f>HYPERLINK("https://docs.google.com/document/d/1vDJ1ESBrN-Wea1cAwLeMDmJHHnLvqXSPhjrECrwqxKE/edit?usp=sharing","Google Demo Agenda")</f>
        <v>Google Demo Agenda</v>
      </c>
      <c r="N8" s="112">
        <v>250.0</v>
      </c>
      <c r="O8" s="92" t="s">
        <v>142</v>
      </c>
      <c r="P8" s="74"/>
      <c r="Q8" s="75" t="s">
        <v>125</v>
      </c>
      <c r="R8" s="74"/>
    </row>
    <row r="9" ht="17.25" customHeight="1">
      <c r="A9" s="73"/>
      <c r="B9" s="74"/>
      <c r="C9" s="74"/>
      <c r="D9" s="74"/>
      <c r="E9" s="47" t="s">
        <v>36</v>
      </c>
      <c r="F9" s="50">
        <v>43916.0</v>
      </c>
      <c r="G9" s="43" t="s">
        <v>147</v>
      </c>
      <c r="H9" s="75" t="s">
        <v>149</v>
      </c>
      <c r="I9" s="59" t="s">
        <v>149</v>
      </c>
      <c r="J9" s="114" t="str">
        <f>HYPERLINK("https://meet.google.com/ftc-rmvb-vxa?hs=122","Join Google Meet")</f>
        <v>Join Google Meet</v>
      </c>
      <c r="K9" s="83" t="s">
        <v>80</v>
      </c>
      <c r="L9" s="89" t="s">
        <v>71</v>
      </c>
      <c r="M9" s="115" t="str">
        <f>HYPERLINK("https://docs.google.com/document/d/1zcUatojyM-3Agoz3P9UIMcQdJ1k4VXasdrK_1lW3yWg/edit?usp=sharing","Drive Agenda")</f>
        <v>Drive Agenda</v>
      </c>
      <c r="N9" s="112">
        <v>111.0</v>
      </c>
      <c r="O9" s="92" t="s">
        <v>157</v>
      </c>
      <c r="P9" s="74"/>
      <c r="Q9" s="75" t="s">
        <v>100</v>
      </c>
      <c r="R9" s="75" t="s">
        <v>158</v>
      </c>
    </row>
    <row r="10" ht="32.25" customHeight="1">
      <c r="A10" s="42"/>
      <c r="B10" s="44"/>
      <c r="C10" s="44"/>
      <c r="D10" s="46"/>
      <c r="E10" s="47" t="s">
        <v>36</v>
      </c>
      <c r="F10" s="50">
        <v>43916.0</v>
      </c>
      <c r="G10" s="53" t="s">
        <v>159</v>
      </c>
      <c r="H10" s="54"/>
      <c r="I10" s="59" t="s">
        <v>160</v>
      </c>
      <c r="J10" s="119" t="str">
        <f>HYPERLINK("https://nam01.safelinks.protection.outlook.com/ap/t-59584e83/?url=https%3A%2F%2Fteams.microsoft.com%2Fl%2Fmeetup-join%2F19%253ameeting_ZjU4MWZhMDAtNzBlOS00YzkxLWFkNzctYjU3YzMwODUxNzhl%2540thread.v2%2F0%3Fcontext%3D%257b%2522Tid%2522%253a%252218492cb7-ef45"&amp;"-4561-8571-0c42e5f7ac07%2522%252c%2522Oid%2522%253a%2522330b8c37-6819-4c0a-ba6b-72395a392551%2522%257d&amp;data=02%7C01%7CTCarrozza2%40schools.nyc.gov%7C2c23fe464dee4371df8108d7cffcbe14%7C18492cb7ef45456185710c42e5f7ac07%7C0%7C0%7C637206556729435932&amp;sdata=JJX"&amp;"ZgnEBPCtrvIHg5dl1ZJOpu2a3uNmn1S%2FfztkSvUY%3D&amp;reserved=0","Join Microsoft Teams Meeting")</f>
        <v>Join Microsoft Teams Meeting</v>
      </c>
      <c r="K10" s="109" t="s">
        <v>52</v>
      </c>
      <c r="L10" s="72" t="s">
        <v>164</v>
      </c>
      <c r="M10" s="80"/>
      <c r="N10" s="68">
        <v>60.0</v>
      </c>
      <c r="O10" s="120" t="s">
        <v>165</v>
      </c>
      <c r="P10" s="44"/>
      <c r="Q10" s="64" t="s">
        <v>55</v>
      </c>
      <c r="R10" s="64"/>
    </row>
    <row r="11">
      <c r="A11" s="42"/>
      <c r="B11" s="44"/>
      <c r="C11" s="44"/>
      <c r="D11" s="46"/>
      <c r="E11" s="47" t="s">
        <v>36</v>
      </c>
      <c r="F11" s="50">
        <v>43916.0</v>
      </c>
      <c r="G11" s="53" t="s">
        <v>166</v>
      </c>
      <c r="H11" s="54"/>
      <c r="I11" s="59" t="s">
        <v>167</v>
      </c>
      <c r="J11" s="125" t="str">
        <f>HYPERLINK("https://teams.microsoft.com/l/meetup-join/19%3ameeting_NDVjODI3ZmQtYjgzZC00Y2E4LTk3YjMtOTRkM2Y2N2Q2MWYx%40thread.v2/0?context=%7b%22Tid%22%3a%2218492cb7-ef45-4561-8571-0c42e5f7ac07%22%2c%22Oid%22%3a%22330b8c37-6819-4c0a-ba6b-72395a392551%22%7d","Join Microsoft Teams Meeting")</f>
        <v>Join Microsoft Teams Meeting</v>
      </c>
      <c r="K11" s="109" t="s">
        <v>52</v>
      </c>
      <c r="L11" s="72" t="s">
        <v>164</v>
      </c>
      <c r="M11" s="80"/>
      <c r="N11" s="68">
        <v>51.0</v>
      </c>
      <c r="O11" s="126"/>
      <c r="P11" s="44"/>
      <c r="Q11" s="64"/>
      <c r="R11" s="64"/>
    </row>
    <row r="12">
      <c r="A12" s="42"/>
      <c r="B12" s="44"/>
      <c r="C12" s="44"/>
      <c r="D12" s="46"/>
      <c r="E12" s="47" t="s">
        <v>36</v>
      </c>
      <c r="F12" s="50">
        <v>43916.0</v>
      </c>
      <c r="G12" s="53" t="s">
        <v>125</v>
      </c>
      <c r="H12" s="54"/>
      <c r="I12" s="59" t="s">
        <v>105</v>
      </c>
      <c r="J12" s="107" t="s">
        <v>126</v>
      </c>
      <c r="K12" s="109" t="s">
        <v>172</v>
      </c>
      <c r="L12" s="72" t="s">
        <v>173</v>
      </c>
      <c r="M12" s="80" t="str">
        <f>HYPERLINK("https://docs.google.com/document/d/1vDJ1ESBrN-Wea1cAwLeMDmJHHnLvqXSPhjrECrwqxKE/edit?usp=sharing","Google Demo Agenda")</f>
        <v>Google Demo Agenda</v>
      </c>
      <c r="N12" s="68">
        <v>201.0</v>
      </c>
      <c r="O12" s="72"/>
      <c r="P12" s="44"/>
      <c r="Q12" s="64" t="s">
        <v>125</v>
      </c>
      <c r="R12" s="64"/>
    </row>
    <row r="13" ht="17.25" customHeight="1">
      <c r="A13" s="73"/>
      <c r="B13" s="74"/>
      <c r="C13" s="74"/>
      <c r="D13" s="74"/>
      <c r="E13" s="47" t="s">
        <v>36</v>
      </c>
      <c r="F13" s="50">
        <v>43916.0</v>
      </c>
      <c r="G13" s="43" t="s">
        <v>175</v>
      </c>
      <c r="H13" s="75" t="s">
        <v>176</v>
      </c>
      <c r="I13" s="57" t="s">
        <v>176</v>
      </c>
      <c r="J13" s="79" t="s">
        <v>69</v>
      </c>
      <c r="K13" s="131" t="s">
        <v>80</v>
      </c>
      <c r="L13" s="89" t="s">
        <v>177</v>
      </c>
      <c r="M13" s="74"/>
      <c r="N13" s="132"/>
      <c r="O13" s="134" t="s">
        <v>179</v>
      </c>
      <c r="P13" s="74"/>
      <c r="Q13" s="75" t="s">
        <v>180</v>
      </c>
      <c r="R13" s="74"/>
    </row>
    <row r="14" ht="17.25" customHeight="1">
      <c r="A14" s="42"/>
      <c r="B14" s="44"/>
      <c r="C14" s="44"/>
      <c r="D14" s="46"/>
      <c r="E14" s="47" t="s">
        <v>36</v>
      </c>
      <c r="F14" s="50">
        <v>43916.0</v>
      </c>
      <c r="G14" s="53" t="s">
        <v>181</v>
      </c>
      <c r="H14" s="54"/>
      <c r="I14" s="57" t="s">
        <v>182</v>
      </c>
      <c r="J14" s="137" t="str">
        <f>HYPERLINK("https://t.co/XwxTPE3KaW?amp=1","Join Materials for ELL / MLL")</f>
        <v>Join Materials for ELL / MLL</v>
      </c>
      <c r="K14" s="44" t="s">
        <v>184</v>
      </c>
      <c r="L14" s="67" t="s">
        <v>185</v>
      </c>
      <c r="M14" s="54"/>
      <c r="N14" s="68">
        <v>155.0</v>
      </c>
      <c r="O14" s="53" t="s">
        <v>186</v>
      </c>
      <c r="P14" s="44"/>
      <c r="Q14" s="64" t="s">
        <v>187</v>
      </c>
      <c r="R14" s="64"/>
    </row>
    <row r="15" ht="17.25" customHeight="1">
      <c r="A15" s="42"/>
      <c r="B15" s="44"/>
      <c r="C15" s="44"/>
      <c r="D15" s="46"/>
      <c r="E15" s="47" t="s">
        <v>36</v>
      </c>
      <c r="F15" s="50">
        <v>43916.0</v>
      </c>
      <c r="G15" s="53" t="s">
        <v>40</v>
      </c>
      <c r="H15" s="54"/>
      <c r="I15" s="57" t="s">
        <v>188</v>
      </c>
      <c r="J15" s="66" t="str">
        <f>HYPERLINK("https://teams.microsoft.com/l/meetup-join/19%3ameeting_YzhkZDFkMjItYjBmMy00ZmUyLWJkZWUtYzE5ZGZlNjk0N2Qw%40thread.v2/0?context=%7b%22Tid%22%3a%2218492cb7-ef45-4561-8571-0c42e5f7ac07%22%2c%22Oid%22%3a%22330b8c37-6819-4c0a-ba6b-72395a392551%22%7d","Join Microsoft Teams Meeting")</f>
        <v>Join Microsoft Teams Meeting</v>
      </c>
      <c r="K15" s="44" t="s">
        <v>52</v>
      </c>
      <c r="L15" s="67" t="s">
        <v>53</v>
      </c>
      <c r="M15" s="138" t="s">
        <v>189</v>
      </c>
      <c r="N15" s="68">
        <v>77.0</v>
      </c>
      <c r="O15" s="53" t="s">
        <v>54</v>
      </c>
      <c r="P15" s="44"/>
      <c r="Q15" s="64" t="s">
        <v>55</v>
      </c>
      <c r="R15" s="64"/>
    </row>
    <row r="16" ht="17.25" customHeight="1">
      <c r="A16" s="42"/>
      <c r="B16" s="44"/>
      <c r="C16" s="44"/>
      <c r="D16" s="46"/>
      <c r="E16" s="47" t="s">
        <v>36</v>
      </c>
      <c r="F16" s="50">
        <v>43916.0</v>
      </c>
      <c r="G16" s="53" t="s">
        <v>196</v>
      </c>
      <c r="H16" s="54"/>
      <c r="I16" s="57" t="s">
        <v>188</v>
      </c>
      <c r="J16" s="71" t="str">
        <f>HYPERLINK("https://teams.microsoft.com/l/meetup-join/19%3ameeting_MTM3ZTM0NWItYzk2NC00ZDE4LWE5MjEtNWEyM2IxNjcwNWI4%40thread.v2/0?context=%7b%22Tid%22%3a%2218492cb7-ef45-4561-8571-0c42e5f7ac07%22%2c%22Oid%22%3a%22330b8c37-6819-4c0a-ba6b-72395a392551%22%7d","Join Microsoft Teams Meeting")</f>
        <v>Join Microsoft Teams Meeting</v>
      </c>
      <c r="K16" s="44" t="s">
        <v>52</v>
      </c>
      <c r="L16" s="67" t="s">
        <v>197</v>
      </c>
      <c r="M16" s="138" t="s">
        <v>189</v>
      </c>
      <c r="N16" s="68">
        <v>44.0</v>
      </c>
      <c r="O16" s="43" t="s">
        <v>61</v>
      </c>
      <c r="P16" s="44"/>
      <c r="Q16" s="64" t="s">
        <v>55</v>
      </c>
      <c r="R16" s="64"/>
    </row>
    <row r="17" ht="17.25" customHeight="1">
      <c r="A17" s="73"/>
      <c r="B17" s="74"/>
      <c r="C17" s="74"/>
      <c r="D17" s="74"/>
      <c r="E17" s="47" t="s">
        <v>36</v>
      </c>
      <c r="F17" s="50">
        <v>43916.0</v>
      </c>
      <c r="G17" s="43" t="s">
        <v>198</v>
      </c>
      <c r="H17" s="75" t="s">
        <v>182</v>
      </c>
      <c r="I17" s="57" t="s">
        <v>182</v>
      </c>
      <c r="J17" s="140" t="s">
        <v>199</v>
      </c>
      <c r="K17" s="131" t="s">
        <v>80</v>
      </c>
      <c r="L17" s="144" t="s">
        <v>210</v>
      </c>
      <c r="M17" s="145"/>
      <c r="N17" s="68">
        <v>34.0</v>
      </c>
      <c r="O17" s="145"/>
      <c r="P17" s="147"/>
      <c r="Q17" s="149" t="s">
        <v>212</v>
      </c>
      <c r="R17" s="74"/>
    </row>
    <row r="18" ht="17.25" customHeight="1">
      <c r="A18" s="73"/>
      <c r="B18" s="74"/>
      <c r="C18" s="74"/>
      <c r="D18" s="74"/>
      <c r="E18" s="47" t="s">
        <v>36</v>
      </c>
      <c r="F18" s="50">
        <v>43916.0</v>
      </c>
      <c r="G18" s="43" t="s">
        <v>213</v>
      </c>
      <c r="H18" s="75" t="s">
        <v>214</v>
      </c>
      <c r="I18" s="57" t="s">
        <v>214</v>
      </c>
      <c r="J18" s="79" t="s">
        <v>216</v>
      </c>
      <c r="K18" s="131" t="s">
        <v>80</v>
      </c>
      <c r="L18" s="89" t="s">
        <v>71</v>
      </c>
      <c r="M18" s="156" t="str">
        <f>HYPERLINK("https://docs.google.com/document/d/1LzyOF7rui4dNktGIzanUJoVZcBdLh0i_-0nozySGfQU/edit?usp=sharing","Minecraft Agenda")</f>
        <v>Minecraft Agenda</v>
      </c>
      <c r="N18" s="112">
        <v>84.0</v>
      </c>
      <c r="O18" s="134"/>
      <c r="P18" s="74"/>
      <c r="Q18" s="75" t="s">
        <v>231</v>
      </c>
      <c r="R18" s="74"/>
    </row>
    <row r="19" ht="17.25" customHeight="1">
      <c r="A19" s="42"/>
      <c r="B19" s="44"/>
      <c r="C19" s="44"/>
      <c r="D19" s="46"/>
      <c r="E19" s="47" t="s">
        <v>36</v>
      </c>
      <c r="F19" s="50">
        <v>43916.0</v>
      </c>
      <c r="G19" s="53" t="s">
        <v>233</v>
      </c>
      <c r="H19" s="54"/>
      <c r="I19" s="57" t="s">
        <v>234</v>
      </c>
      <c r="J19" s="157" t="str">
        <f>HYPERLINK("https://nam01.safelinks.protection.outlook.com/ap/t-59584e83/?url=https%3A%2F%2Fteams.microsoft.com%2Fl%2Fmeetup-join%2F19%253ameeting_NGVjZDBkNTktNjYwNi00ZDhkLTk3NWQtZjgxMTU0ZjA5MzU5%2540thread.v2%2F0%3Fcontext%3D%257b%2522Tid%2522%253a%252218492cb7-ef45"&amp;"-4561-8571-0c42e5f7ac07%2522%252c%2522Oid%2522%253a%2522330b8c37-6819-4c0a-ba6b-72395a392551%2522%257d&amp;data=02%7C01%7CTCarrozza2%40schools.nyc.gov%7Cbb5bd67c8e734a7cbbd608d7cffcdb5e%7C18492cb7ef45456185710c42e5f7ac07%7C0%7C0%7C637206557220277178&amp;sdata=em3"&amp;"9S3HAfoCq5LMUG1TkYsuzlhPcwu6NNQXipHJpgsQ%3D&amp;reserved=0","Join Microsoft Teams Meeting")</f>
        <v>Join Microsoft Teams Meeting</v>
      </c>
      <c r="K19" s="44" t="s">
        <v>52</v>
      </c>
      <c r="L19" s="53" t="s">
        <v>53</v>
      </c>
      <c r="M19" s="158" t="s">
        <v>189</v>
      </c>
      <c r="N19" s="68">
        <v>82.0</v>
      </c>
      <c r="O19" s="43"/>
      <c r="P19" s="44"/>
      <c r="Q19" s="64" t="s">
        <v>119</v>
      </c>
      <c r="R19" s="64"/>
    </row>
    <row r="20" ht="30.75" customHeight="1">
      <c r="A20" s="42"/>
      <c r="B20" s="44"/>
      <c r="C20" s="44"/>
      <c r="D20" s="46"/>
      <c r="E20" s="47" t="s">
        <v>36</v>
      </c>
      <c r="F20" s="50">
        <v>43916.0</v>
      </c>
      <c r="G20" s="53" t="s">
        <v>125</v>
      </c>
      <c r="H20" s="54"/>
      <c r="I20" s="57" t="s">
        <v>68</v>
      </c>
      <c r="J20" s="162" t="s">
        <v>126</v>
      </c>
      <c r="K20" s="47" t="s">
        <v>247</v>
      </c>
      <c r="L20" s="53" t="s">
        <v>248</v>
      </c>
      <c r="M20" s="80" t="str">
        <f>HYPERLINK("https://docs.google.com/document/d/1vDJ1ESBrN-Wea1cAwLeMDmJHHnLvqXSPhjrECrwqxKE/edit?userstoinvite=rrosero@aclanyc.com&amp;ts=5e78cb43&amp;actionButton=1","Google Demo Agenda")</f>
        <v>Google Demo Agenda</v>
      </c>
      <c r="N20" s="68">
        <v>108.0</v>
      </c>
      <c r="O20" s="43"/>
      <c r="P20" s="44"/>
      <c r="Q20" s="64" t="s">
        <v>125</v>
      </c>
      <c r="R20" s="64"/>
    </row>
    <row r="21" ht="17.25" customHeight="1">
      <c r="A21" s="42"/>
      <c r="B21" s="44"/>
      <c r="C21" s="44"/>
      <c r="D21" s="46"/>
      <c r="E21" s="47" t="s">
        <v>36</v>
      </c>
      <c r="F21" s="50">
        <v>43916.0</v>
      </c>
      <c r="G21" s="53" t="s">
        <v>40</v>
      </c>
      <c r="H21" s="54"/>
      <c r="I21" s="57" t="s">
        <v>250</v>
      </c>
      <c r="J21" s="66" t="str">
        <f>HYPERLINK("https://teams.microsoft.com/l/meetup-join/19%3ameeting_YzhkZDFkMjItYjBmMy00ZmUyLWJkZWUtYzE5ZGZlNjk0N2Qw%40thread.v2/0?context=%7b%22Tid%22%3a%2218492cb7-ef45-4561-8571-0c42e5f7ac07%22%2c%22Oid%22%3a%22330b8c37-6819-4c0a-ba6b-72395a392551%22%7d","Join Microsoft Teams Meeting")</f>
        <v>Join Microsoft Teams Meeting</v>
      </c>
      <c r="K21" s="44" t="s">
        <v>52</v>
      </c>
      <c r="L21" s="67" t="s">
        <v>60</v>
      </c>
      <c r="M21" s="158" t="s">
        <v>189</v>
      </c>
      <c r="N21" s="68"/>
      <c r="O21" s="53" t="s">
        <v>54</v>
      </c>
      <c r="P21" s="44"/>
      <c r="Q21" s="64" t="s">
        <v>55</v>
      </c>
      <c r="R21" s="64"/>
    </row>
    <row r="22" ht="17.25" customHeight="1">
      <c r="A22" s="42"/>
      <c r="B22" s="44"/>
      <c r="C22" s="44"/>
      <c r="D22" s="46"/>
      <c r="E22" s="47" t="s">
        <v>36</v>
      </c>
      <c r="F22" s="50">
        <v>43916.0</v>
      </c>
      <c r="G22" s="53" t="s">
        <v>196</v>
      </c>
      <c r="H22" s="54"/>
      <c r="I22" s="57" t="s">
        <v>250</v>
      </c>
      <c r="J22" s="71" t="str">
        <f>HYPERLINK("https://teams.microsoft.com/l/meetup-join/19%3ameeting_MTM3ZTM0NWItYzk2NC00ZDE4LWE5MjEtNWEyM2IxNjcwNWI4%40thread.v2/0?context=%7b%22Tid%22%3a%2218492cb7-ef45-4561-8571-0c42e5f7ac07%22%2c%22Oid%22%3a%22330b8c37-6819-4c0a-ba6b-72395a392551%22%7d","Join Microsoft Teams Meeting")</f>
        <v>Join Microsoft Teams Meeting</v>
      </c>
      <c r="K22" s="44" t="s">
        <v>52</v>
      </c>
      <c r="L22" s="67" t="s">
        <v>53</v>
      </c>
      <c r="M22" s="158" t="s">
        <v>189</v>
      </c>
      <c r="N22" s="68"/>
      <c r="O22" s="43" t="s">
        <v>61</v>
      </c>
      <c r="P22" s="44"/>
      <c r="Q22" s="64" t="s">
        <v>55</v>
      </c>
      <c r="R22" s="64"/>
    </row>
    <row r="23" ht="27.75" customHeight="1">
      <c r="A23" s="42"/>
      <c r="B23" s="44"/>
      <c r="C23" s="44"/>
      <c r="D23" s="46"/>
      <c r="E23" s="47" t="s">
        <v>36</v>
      </c>
      <c r="F23" s="50">
        <v>43916.0</v>
      </c>
      <c r="G23" s="53" t="s">
        <v>255</v>
      </c>
      <c r="H23" s="54"/>
      <c r="I23" s="57" t="s">
        <v>256</v>
      </c>
      <c r="J23" s="162" t="s">
        <v>126</v>
      </c>
      <c r="K23" s="47" t="s">
        <v>257</v>
      </c>
      <c r="L23" s="43" t="s">
        <v>258</v>
      </c>
      <c r="M23" s="80" t="str">
        <f>HYPERLINK("https://docs.google.com/document/d/1vDJ1ESBrN-Wea1cAwLeMDmJHHnLvqXSPhjrECrwqxKE/edit?userstoinvite=rrosero@aclanyc.com&amp;ts=5e78cb43&amp;actionButton=1","Google Demo Agenda")</f>
        <v>Google Demo Agenda</v>
      </c>
      <c r="N23" s="68">
        <v>130.0</v>
      </c>
      <c r="O23" s="43"/>
      <c r="P23" s="44"/>
      <c r="Q23" s="64" t="s">
        <v>125</v>
      </c>
      <c r="R23" s="64"/>
    </row>
    <row r="24" ht="17.25" customHeight="1">
      <c r="A24" s="42"/>
      <c r="B24" s="44"/>
      <c r="C24" s="44"/>
      <c r="D24" s="46"/>
      <c r="E24" s="47" t="s">
        <v>36</v>
      </c>
      <c r="F24" s="50">
        <v>43916.0</v>
      </c>
      <c r="G24" s="53" t="s">
        <v>259</v>
      </c>
      <c r="H24" s="54"/>
      <c r="I24" s="59" t="s">
        <v>260</v>
      </c>
      <c r="J24" s="164" t="str">
        <f>HYPERLINK("https://aka.ms/RemoteLearning-March262020","Join Microsoft Teams Meeting")</f>
        <v>Join Microsoft Teams Meeting</v>
      </c>
      <c r="K24" s="109" t="s">
        <v>52</v>
      </c>
      <c r="L24" s="72"/>
      <c r="M24" s="54"/>
      <c r="N24" s="68"/>
      <c r="O24" s="72"/>
      <c r="P24" s="44"/>
      <c r="Q24" s="64" t="s">
        <v>261</v>
      </c>
      <c r="R24" s="64"/>
    </row>
    <row r="25" ht="21.0" customHeight="1">
      <c r="A25" s="165"/>
      <c r="B25" s="166"/>
      <c r="C25" s="166"/>
      <c r="D25" s="166"/>
      <c r="E25" s="5"/>
      <c r="F25" s="167"/>
      <c r="G25" s="167"/>
      <c r="H25" s="168"/>
      <c r="I25" s="32"/>
      <c r="J25" s="169"/>
      <c r="K25" s="170"/>
      <c r="L25" s="171"/>
      <c r="M25" s="35" t="s">
        <v>263</v>
      </c>
      <c r="N25" s="172"/>
      <c r="O25" s="173"/>
      <c r="P25" s="166"/>
      <c r="Q25" s="166"/>
      <c r="R25" s="166"/>
    </row>
    <row r="26" ht="17.25" customHeight="1">
      <c r="A26" s="42"/>
      <c r="B26" s="44"/>
      <c r="C26" s="44"/>
      <c r="D26" s="46"/>
      <c r="E26" s="47" t="s">
        <v>265</v>
      </c>
      <c r="F26" s="50">
        <v>43917.0</v>
      </c>
      <c r="G26" s="53" t="s">
        <v>40</v>
      </c>
      <c r="H26" s="54"/>
      <c r="I26" s="59" t="s">
        <v>43</v>
      </c>
      <c r="J26" s="66" t="str">
        <f>HYPERLINK("https://teams.microsoft.com/l/meetup-join/19%3ameeting_YzhkZDFkMjItYjBmMy00ZmUyLWJkZWUtYzE5ZGZlNjk0N2Qw%40thread.v2/0?context=%7b%22Tid%22%3a%2218492cb7-ef45-4561-8571-0c42e5f7ac07%22%2c%22Oid%22%3a%22330b8c37-6819-4c0a-ba6b-72395a392551%22%7d","Join Microsoft Teams Meeting")</f>
        <v>Join Microsoft Teams Meeting</v>
      </c>
      <c r="K26" s="44" t="s">
        <v>52</v>
      </c>
      <c r="L26" s="158" t="s">
        <v>189</v>
      </c>
      <c r="M26" s="54"/>
      <c r="N26" s="68"/>
      <c r="O26" s="53" t="s">
        <v>54</v>
      </c>
      <c r="P26" s="44"/>
      <c r="Q26" s="64" t="s">
        <v>55</v>
      </c>
      <c r="R26" s="64"/>
    </row>
    <row r="27" ht="17.25" customHeight="1">
      <c r="A27" s="42"/>
      <c r="B27" s="44"/>
      <c r="C27" s="44"/>
      <c r="D27" s="46"/>
      <c r="E27" s="47" t="s">
        <v>265</v>
      </c>
      <c r="F27" s="50">
        <v>43917.0</v>
      </c>
      <c r="G27" s="53" t="s">
        <v>196</v>
      </c>
      <c r="H27" s="54"/>
      <c r="I27" s="59" t="s">
        <v>43</v>
      </c>
      <c r="J27" s="71" t="str">
        <f>HYPERLINK("https://teams.microsoft.com/l/meetup-join/19%3ameeting_MTM3ZTM0NWItYzk2NC00ZDE4LWE5MjEtNWEyM2IxNjcwNWI4%40thread.v2/0?context=%7b%22Tid%22%3a%2218492cb7-ef45-4561-8571-0c42e5f7ac07%22%2c%22Oid%22%3a%22330b8c37-6819-4c0a-ba6b-72395a392551%22%7d","Join Microsoft Teams Meeting")</f>
        <v>Join Microsoft Teams Meeting</v>
      </c>
      <c r="K27" s="44" t="s">
        <v>52</v>
      </c>
      <c r="L27" s="158" t="s">
        <v>189</v>
      </c>
      <c r="M27" s="54"/>
      <c r="N27" s="68"/>
      <c r="O27" s="72" t="s">
        <v>61</v>
      </c>
      <c r="P27" s="44"/>
      <c r="Q27" s="64" t="s">
        <v>55</v>
      </c>
      <c r="R27" s="64"/>
    </row>
    <row r="28" ht="17.25" customHeight="1">
      <c r="A28" s="73"/>
      <c r="B28" s="74"/>
      <c r="C28" s="74"/>
      <c r="D28" s="74"/>
      <c r="E28" s="47" t="s">
        <v>265</v>
      </c>
      <c r="F28" s="50">
        <v>43917.0</v>
      </c>
      <c r="G28" s="43" t="s">
        <v>65</v>
      </c>
      <c r="H28" s="75" t="s">
        <v>66</v>
      </c>
      <c r="I28" s="59" t="s">
        <v>66</v>
      </c>
      <c r="J28" s="79" t="s">
        <v>69</v>
      </c>
      <c r="K28" s="83" t="s">
        <v>80</v>
      </c>
      <c r="L28" s="89" t="s">
        <v>80</v>
      </c>
      <c r="M28" s="90" t="str">
        <f>HYPERLINK("https://d75stem.d75edu.com/","STEM Site")</f>
        <v>STEM Site</v>
      </c>
      <c r="N28" s="91"/>
      <c r="O28" s="92" t="s">
        <v>99</v>
      </c>
      <c r="P28" s="74"/>
      <c r="Q28" s="75" t="s">
        <v>100</v>
      </c>
      <c r="R28" s="74"/>
    </row>
    <row r="29" ht="17.25" customHeight="1">
      <c r="A29" s="73"/>
      <c r="B29" s="74"/>
      <c r="C29" s="74"/>
      <c r="D29" s="74"/>
      <c r="E29" s="47" t="s">
        <v>265</v>
      </c>
      <c r="F29" s="50">
        <v>43917.0</v>
      </c>
      <c r="G29" s="43" t="s">
        <v>103</v>
      </c>
      <c r="H29" s="74"/>
      <c r="I29" s="59" t="s">
        <v>104</v>
      </c>
      <c r="J29" s="71" t="str">
        <f>HYPERLINK("https://www.discoveryeducation.com/learn/den-virtcon-better-together/","Join Virtual Conference")</f>
        <v>Join Virtual Conference</v>
      </c>
      <c r="K29" s="109"/>
      <c r="L29" s="53"/>
      <c r="M29" s="74"/>
      <c r="N29" s="132"/>
      <c r="O29" s="96" t="s">
        <v>108</v>
      </c>
      <c r="P29" s="74"/>
      <c r="Q29" s="64"/>
      <c r="R29" s="74"/>
    </row>
    <row r="30" ht="17.25" customHeight="1">
      <c r="A30" s="73"/>
      <c r="B30" s="74"/>
      <c r="C30" s="74"/>
      <c r="D30" s="74"/>
      <c r="E30" s="47" t="s">
        <v>265</v>
      </c>
      <c r="F30" s="50">
        <v>43917.0</v>
      </c>
      <c r="G30" s="102" t="s">
        <v>125</v>
      </c>
      <c r="H30" s="74"/>
      <c r="I30" s="103" t="s">
        <v>45</v>
      </c>
      <c r="J30" s="107" t="s">
        <v>126</v>
      </c>
      <c r="K30" s="109" t="s">
        <v>288</v>
      </c>
      <c r="L30" s="53" t="s">
        <v>289</v>
      </c>
      <c r="M30" s="74"/>
      <c r="N30" s="132"/>
      <c r="O30" s="213"/>
      <c r="P30" s="74"/>
      <c r="Q30" s="64" t="s">
        <v>125</v>
      </c>
      <c r="R30" s="74"/>
    </row>
    <row r="31" ht="17.25" customHeight="1">
      <c r="A31" s="73"/>
      <c r="B31" s="74"/>
      <c r="C31" s="74"/>
      <c r="D31" s="74"/>
      <c r="E31" s="47" t="s">
        <v>265</v>
      </c>
      <c r="F31" s="50">
        <v>43917.0</v>
      </c>
      <c r="G31" s="43" t="s">
        <v>293</v>
      </c>
      <c r="H31" s="75" t="s">
        <v>149</v>
      </c>
      <c r="I31" s="59" t="s">
        <v>149</v>
      </c>
      <c r="J31" s="79" t="s">
        <v>216</v>
      </c>
      <c r="K31" s="83" t="s">
        <v>80</v>
      </c>
      <c r="L31" s="89" t="s">
        <v>71</v>
      </c>
      <c r="M31" s="224" t="str">
        <f>HYPERLINK("https://docs.google.com/document/d/1UYWM8Zd7HknLQd9_uP4M2SKO2rLTcyxSskL5ZsWxUS8/edit?usp=sharing","GBL Agenda")</f>
        <v>GBL Agenda</v>
      </c>
      <c r="N31" s="132"/>
      <c r="O31" s="92" t="s">
        <v>297</v>
      </c>
      <c r="P31" s="74"/>
      <c r="Q31" s="75" t="s">
        <v>293</v>
      </c>
      <c r="R31" s="74"/>
    </row>
    <row r="32" ht="17.25" customHeight="1">
      <c r="A32" s="93"/>
      <c r="B32" s="44"/>
      <c r="C32" s="44"/>
      <c r="D32" s="46"/>
      <c r="E32" s="47" t="s">
        <v>265</v>
      </c>
      <c r="F32" s="50">
        <v>43917.0</v>
      </c>
      <c r="G32" s="53" t="s">
        <v>298</v>
      </c>
      <c r="H32" s="54"/>
      <c r="I32" s="57" t="s">
        <v>113</v>
      </c>
      <c r="J32" s="71" t="str">
        <f>HYPERLINK("https://teams.microsoft.com/l/meetup-join/19%3ameeting_Y2E3YjNkMTYtOTc3Ni00ODMyLTk0ZjgtZDNjZTBmYmZhNTlh%40thread.v2/0?context=%7B%22Tid%22%3A%2272f988bf-86f1-41af-91ab-2d7cd011db47%22%2C%22Oid%22%3A%22addd7b3b-8a0e-4b3a-b408-8b241062970f%22%2C%22IsBroadca"&amp;"stMeeting%22%3Atrue%7D","Join The Flipgrid Meeting")</f>
        <v>Join The Flipgrid Meeting</v>
      </c>
      <c r="K32" s="44" t="s">
        <v>119</v>
      </c>
      <c r="L32" s="67"/>
      <c r="M32" s="80" t="str">
        <f>HYPERLINK("http://blog.flipgrid.com/flipgridpd","Flipgrid event")</f>
        <v>Flipgrid event</v>
      </c>
      <c r="N32" s="68"/>
      <c r="O32" s="53"/>
      <c r="P32" s="44"/>
      <c r="Q32" s="64" t="s">
        <v>119</v>
      </c>
      <c r="R32" s="64"/>
    </row>
    <row r="33" ht="17.25" customHeight="1">
      <c r="A33" s="42"/>
      <c r="B33" s="44"/>
      <c r="C33" s="44"/>
      <c r="D33" s="46"/>
      <c r="E33" s="47" t="s">
        <v>265</v>
      </c>
      <c r="F33" s="50">
        <v>43917.0</v>
      </c>
      <c r="G33" s="53" t="s">
        <v>301</v>
      </c>
      <c r="H33" s="54"/>
      <c r="I33" s="59" t="s">
        <v>160</v>
      </c>
      <c r="J33" s="164"/>
      <c r="K33" s="44" t="s">
        <v>52</v>
      </c>
      <c r="L33" s="53" t="s">
        <v>53</v>
      </c>
      <c r="M33" s="54"/>
      <c r="N33" s="68"/>
      <c r="O33" s="72"/>
      <c r="P33" s="44"/>
      <c r="Q33" s="64" t="s">
        <v>55</v>
      </c>
      <c r="R33" s="64"/>
    </row>
    <row r="34" ht="17.25" customHeight="1">
      <c r="A34" s="42"/>
      <c r="B34" s="44"/>
      <c r="C34" s="44"/>
      <c r="D34" s="46"/>
      <c r="E34" s="47" t="s">
        <v>265</v>
      </c>
      <c r="F34" s="50">
        <v>43917.0</v>
      </c>
      <c r="G34" s="53" t="s">
        <v>302</v>
      </c>
      <c r="H34" s="54"/>
      <c r="I34" s="59" t="s">
        <v>167</v>
      </c>
      <c r="J34" s="164" t="str">
        <f>HYPERLINK("https://teams.microsoft.com/l/meetup-join/19%3ameeting_YWRlYjM1ODAtZTgzNi00NjNkLTg1Y2ItNDcxYmZhNzFjMWMx%40thread.v2/0?context=%7b%22Tid%22%3a%2218492cb7-ef45-4561-8571-0c42e5f7ac07%22%2c%22Oid%22%3a%22184b04c7-3c5d-41b0-b4af-a45f8dfa24c8%22%2c%22IsBroadca"&amp;"stMeeting%22%3atrue%7d","Join Team Meeting")</f>
        <v>Join Team Meeting</v>
      </c>
      <c r="K34" s="83" t="s">
        <v>80</v>
      </c>
      <c r="L34" s="53" t="s">
        <v>303</v>
      </c>
      <c r="M34" s="54"/>
      <c r="N34" s="68"/>
      <c r="O34" s="72" t="s">
        <v>304</v>
      </c>
      <c r="P34" s="44"/>
      <c r="Q34" s="64" t="s">
        <v>100</v>
      </c>
      <c r="R34" s="64" t="s">
        <v>305</v>
      </c>
    </row>
    <row r="35" ht="17.25" customHeight="1">
      <c r="A35" s="42"/>
      <c r="B35" s="44"/>
      <c r="C35" s="44"/>
      <c r="D35" s="46"/>
      <c r="E35" s="47" t="s">
        <v>265</v>
      </c>
      <c r="F35" s="50">
        <v>43917.0</v>
      </c>
      <c r="G35" s="53" t="s">
        <v>125</v>
      </c>
      <c r="H35" s="54"/>
      <c r="I35" s="59" t="s">
        <v>105</v>
      </c>
      <c r="J35" s="107" t="s">
        <v>126</v>
      </c>
      <c r="K35" s="44" t="s">
        <v>306</v>
      </c>
      <c r="L35" s="53"/>
      <c r="M35" s="54"/>
      <c r="N35" s="68"/>
      <c r="O35" s="72"/>
      <c r="P35" s="44"/>
      <c r="Q35" s="64" t="s">
        <v>55</v>
      </c>
      <c r="R35" s="64"/>
    </row>
    <row r="36" ht="17.25" customHeight="1">
      <c r="A36" s="42"/>
      <c r="B36" s="44"/>
      <c r="C36" s="44"/>
      <c r="D36" s="46"/>
      <c r="E36" s="47" t="s">
        <v>265</v>
      </c>
      <c r="F36" s="50">
        <v>43917.0</v>
      </c>
      <c r="G36" s="53" t="s">
        <v>309</v>
      </c>
      <c r="H36" s="54" t="s">
        <v>310</v>
      </c>
      <c r="I36" s="59" t="s">
        <v>310</v>
      </c>
      <c r="J36" s="239" t="s">
        <v>216</v>
      </c>
      <c r="K36" s="83" t="s">
        <v>80</v>
      </c>
      <c r="L36" s="240" t="s">
        <v>71</v>
      </c>
      <c r="M36" s="54"/>
      <c r="N36" s="68"/>
      <c r="O36" s="241" t="s">
        <v>312</v>
      </c>
      <c r="P36" s="44"/>
      <c r="Q36" s="64" t="s">
        <v>313</v>
      </c>
      <c r="R36" s="64"/>
    </row>
    <row r="37" ht="17.25" customHeight="1">
      <c r="A37" s="42"/>
      <c r="B37" s="44"/>
      <c r="C37" s="44"/>
      <c r="D37" s="46"/>
      <c r="E37" s="47" t="s">
        <v>265</v>
      </c>
      <c r="F37" s="50">
        <v>43917.0</v>
      </c>
      <c r="G37" s="53" t="s">
        <v>181</v>
      </c>
      <c r="H37" s="54"/>
      <c r="I37" s="59" t="s">
        <v>182</v>
      </c>
      <c r="J37" s="137" t="str">
        <f>HYPERLINK("https://t.co/XwxTPE3KaW?amp=1","Join Materials for ELL / MLL")</f>
        <v>Join Materials for ELL / MLL</v>
      </c>
      <c r="K37" s="44" t="s">
        <v>184</v>
      </c>
      <c r="L37" s="67"/>
      <c r="M37" s="54"/>
      <c r="N37" s="68"/>
      <c r="O37" s="53" t="s">
        <v>186</v>
      </c>
      <c r="P37" s="44"/>
      <c r="Q37" s="64" t="s">
        <v>187</v>
      </c>
      <c r="R37" s="64"/>
    </row>
    <row r="38" ht="17.25" customHeight="1">
      <c r="A38" s="42"/>
      <c r="B38" s="44"/>
      <c r="C38" s="44"/>
      <c r="D38" s="46"/>
      <c r="E38" s="47" t="s">
        <v>265</v>
      </c>
      <c r="F38" s="50">
        <v>43917.0</v>
      </c>
      <c r="G38" s="53" t="s">
        <v>40</v>
      </c>
      <c r="H38" s="54"/>
      <c r="I38" s="59" t="s">
        <v>188</v>
      </c>
      <c r="J38" s="116" t="s">
        <v>126</v>
      </c>
      <c r="K38" s="44" t="s">
        <v>52</v>
      </c>
      <c r="L38" s="158" t="s">
        <v>189</v>
      </c>
      <c r="M38" s="54"/>
      <c r="N38" s="68"/>
      <c r="O38" s="53" t="s">
        <v>54</v>
      </c>
      <c r="P38" s="44"/>
      <c r="Q38" s="64" t="s">
        <v>55</v>
      </c>
      <c r="R38" s="64"/>
    </row>
    <row r="39" ht="17.25" customHeight="1">
      <c r="A39" s="42"/>
      <c r="B39" s="44"/>
      <c r="C39" s="44"/>
      <c r="D39" s="46"/>
      <c r="E39" s="47" t="s">
        <v>265</v>
      </c>
      <c r="F39" s="50">
        <v>43917.0</v>
      </c>
      <c r="G39" s="53" t="s">
        <v>196</v>
      </c>
      <c r="H39" s="54"/>
      <c r="I39" s="59" t="s">
        <v>188</v>
      </c>
      <c r="J39" s="116" t="s">
        <v>126</v>
      </c>
      <c r="K39" s="44" t="s">
        <v>52</v>
      </c>
      <c r="L39" s="158" t="s">
        <v>189</v>
      </c>
      <c r="M39" s="54"/>
      <c r="N39" s="68"/>
      <c r="O39" s="72" t="s">
        <v>61</v>
      </c>
      <c r="P39" s="44"/>
      <c r="Q39" s="64" t="s">
        <v>55</v>
      </c>
      <c r="R39" s="64"/>
    </row>
    <row r="40" ht="17.25" customHeight="1">
      <c r="A40" s="42"/>
      <c r="B40" s="44"/>
      <c r="C40" s="44"/>
      <c r="D40" s="46"/>
      <c r="E40" s="47" t="s">
        <v>265</v>
      </c>
      <c r="F40" s="50">
        <v>43917.0</v>
      </c>
      <c r="G40" s="53" t="s">
        <v>40</v>
      </c>
      <c r="H40" s="54"/>
      <c r="I40" s="59" t="s">
        <v>250</v>
      </c>
      <c r="J40" s="116" t="s">
        <v>126</v>
      </c>
      <c r="K40" s="44" t="s">
        <v>52</v>
      </c>
      <c r="L40" s="158" t="s">
        <v>189</v>
      </c>
      <c r="M40" s="54"/>
      <c r="N40" s="68"/>
      <c r="O40" s="53" t="s">
        <v>54</v>
      </c>
      <c r="P40" s="44"/>
      <c r="Q40" s="64" t="s">
        <v>55</v>
      </c>
      <c r="R40" s="64"/>
    </row>
    <row r="41" ht="17.25" customHeight="1">
      <c r="A41" s="42"/>
      <c r="B41" s="44"/>
      <c r="C41" s="44"/>
      <c r="D41" s="46"/>
      <c r="E41" s="47" t="s">
        <v>265</v>
      </c>
      <c r="F41" s="50">
        <v>43917.0</v>
      </c>
      <c r="G41" s="53" t="s">
        <v>196</v>
      </c>
      <c r="H41" s="54"/>
      <c r="I41" s="59" t="s">
        <v>250</v>
      </c>
      <c r="J41" s="116" t="s">
        <v>126</v>
      </c>
      <c r="K41" s="44" t="s">
        <v>52</v>
      </c>
      <c r="L41" s="158" t="s">
        <v>189</v>
      </c>
      <c r="M41" s="54"/>
      <c r="N41" s="68"/>
      <c r="O41" s="72" t="s">
        <v>61</v>
      </c>
      <c r="P41" s="44"/>
      <c r="Q41" s="64" t="s">
        <v>55</v>
      </c>
      <c r="R41" s="64"/>
    </row>
    <row r="42" ht="17.25" customHeight="1">
      <c r="A42" s="42"/>
      <c r="B42" s="44"/>
      <c r="C42" s="44"/>
      <c r="D42" s="46"/>
      <c r="E42" s="47" t="s">
        <v>265</v>
      </c>
      <c r="F42" s="50">
        <v>43917.0</v>
      </c>
      <c r="G42" s="53" t="s">
        <v>125</v>
      </c>
      <c r="H42" s="54"/>
      <c r="I42" s="59" t="s">
        <v>68</v>
      </c>
      <c r="J42" s="107" t="s">
        <v>126</v>
      </c>
      <c r="K42" s="109" t="s">
        <v>337</v>
      </c>
      <c r="L42" s="53"/>
      <c r="M42" s="54"/>
      <c r="N42" s="68"/>
      <c r="O42" s="72"/>
      <c r="P42" s="44"/>
      <c r="Q42" s="64" t="s">
        <v>125</v>
      </c>
      <c r="R42" s="64"/>
    </row>
    <row r="43" ht="17.25" customHeight="1">
      <c r="A43" s="42"/>
      <c r="B43" s="44"/>
      <c r="C43" s="44"/>
      <c r="D43" s="46"/>
      <c r="E43" s="47" t="s">
        <v>265</v>
      </c>
      <c r="F43" s="50">
        <v>43917.0</v>
      </c>
      <c r="G43" s="53" t="s">
        <v>255</v>
      </c>
      <c r="H43" s="54"/>
      <c r="I43" s="59" t="s">
        <v>256</v>
      </c>
      <c r="J43" s="107" t="s">
        <v>126</v>
      </c>
      <c r="K43" s="274"/>
      <c r="L43" s="53"/>
      <c r="M43" s="54"/>
      <c r="N43" s="68"/>
      <c r="O43" s="72"/>
      <c r="P43" s="44"/>
      <c r="Q43" s="64" t="s">
        <v>125</v>
      </c>
      <c r="R43" s="64"/>
    </row>
    <row r="44">
      <c r="A44" s="275"/>
      <c r="B44" s="275"/>
      <c r="C44" s="275"/>
      <c r="D44" s="275"/>
      <c r="E44" s="5"/>
      <c r="F44" s="275"/>
      <c r="G44" s="275"/>
      <c r="H44" s="275"/>
      <c r="I44" s="275"/>
      <c r="J44" s="275"/>
      <c r="K44" s="276"/>
      <c r="L44" s="275"/>
      <c r="M44" s="275"/>
      <c r="N44" s="275"/>
      <c r="O44" s="276"/>
      <c r="P44" s="275"/>
      <c r="Q44" s="275"/>
      <c r="R44" s="275"/>
    </row>
    <row r="45" ht="17.25" customHeight="1">
      <c r="A45" s="42"/>
      <c r="B45" s="44"/>
      <c r="C45" s="44"/>
      <c r="D45" s="46"/>
      <c r="E45" s="64" t="s">
        <v>342</v>
      </c>
      <c r="F45" s="50">
        <v>43922.0</v>
      </c>
      <c r="G45" s="53" t="s">
        <v>343</v>
      </c>
      <c r="H45" s="54"/>
      <c r="I45" s="59" t="s">
        <v>344</v>
      </c>
      <c r="J45" s="258" t="str">
        <f>HYPERLINK("https://otis.teq.com/events/preview/14400","Join Google Forms")</f>
        <v>Join Google Forms</v>
      </c>
      <c r="K45" s="274" t="s">
        <v>347</v>
      </c>
      <c r="L45" s="53"/>
      <c r="M45" s="54"/>
      <c r="N45" s="68"/>
      <c r="O45" s="279" t="str">
        <f>HYPERLINK("https://otis.teq.com/users/register/","Sessions are broadcasted Live by Teq, you will need to have an account or create a Free account prior to joining. All courses are CTLE approved and there will be a survey at the end of the course. https://otis.teq.com/users/register/ For account assistanc"&amp;"e, email OTIS@teq.com")</f>
        <v>Sessions are broadcasted Live by Teq, you will need to have an account or create a Free account prior to joining. All courses are CTLE approved and there will be a survey at the end of the course. https://otis.teq.com/users/register/ For account assistance, email OTIS@teq.com</v>
      </c>
      <c r="P45" s="44"/>
      <c r="Q45" s="64" t="s">
        <v>351</v>
      </c>
      <c r="R45" s="64"/>
    </row>
    <row r="46" ht="17.25" customHeight="1">
      <c r="A46" s="280"/>
      <c r="B46" s="281"/>
      <c r="C46" s="281"/>
      <c r="D46" s="282"/>
      <c r="E46" s="283" t="s">
        <v>36</v>
      </c>
      <c r="F46" s="284">
        <v>43923.0</v>
      </c>
      <c r="G46" s="133" t="s">
        <v>352</v>
      </c>
      <c r="H46" s="79"/>
      <c r="I46" s="59" t="s">
        <v>344</v>
      </c>
      <c r="J46" s="258" t="str">
        <f t="shared" ref="J46:J47" si="1">HYPERLINK("https://t.co/IZhvxR7pIp?amp=1","Join Teaching Matters")</f>
        <v>Join Teaching Matters</v>
      </c>
      <c r="K46" s="133" t="s">
        <v>184</v>
      </c>
      <c r="L46" s="286"/>
      <c r="M46" s="79"/>
      <c r="N46" s="286"/>
      <c r="O46" s="287" t="s">
        <v>353</v>
      </c>
      <c r="P46" s="283"/>
      <c r="Q46" s="64" t="s">
        <v>184</v>
      </c>
      <c r="R46" s="64"/>
    </row>
    <row r="47" ht="17.25" customHeight="1">
      <c r="A47" s="280"/>
      <c r="B47" s="281"/>
      <c r="C47" s="281"/>
      <c r="D47" s="282"/>
      <c r="E47" s="283" t="s">
        <v>36</v>
      </c>
      <c r="F47" s="284">
        <v>43924.0</v>
      </c>
      <c r="G47" s="133" t="s">
        <v>352</v>
      </c>
      <c r="H47" s="79"/>
      <c r="I47" s="59" t="s">
        <v>354</v>
      </c>
      <c r="J47" s="258" t="str">
        <f t="shared" si="1"/>
        <v>Join Teaching Matters</v>
      </c>
      <c r="K47" s="133" t="s">
        <v>184</v>
      </c>
      <c r="L47" s="286"/>
      <c r="M47" s="79"/>
      <c r="N47" s="286"/>
      <c r="O47" s="287" t="s">
        <v>353</v>
      </c>
      <c r="P47" s="283"/>
      <c r="Q47" s="64" t="s">
        <v>184</v>
      </c>
      <c r="R47" s="64"/>
    </row>
    <row r="48" ht="17.25" customHeight="1">
      <c r="A48" s="280"/>
      <c r="B48" s="281"/>
      <c r="C48" s="281"/>
      <c r="D48" s="282"/>
      <c r="E48" s="283" t="s">
        <v>270</v>
      </c>
      <c r="F48" s="284">
        <v>43927.0</v>
      </c>
      <c r="G48" s="133" t="s">
        <v>355</v>
      </c>
      <c r="H48" s="79" t="s">
        <v>356</v>
      </c>
      <c r="I48" s="283" t="s">
        <v>358</v>
      </c>
      <c r="J48" s="258" t="str">
        <f>HYPERLINK("https://otis.teq.com/events/view/14401","Join Google Sites ")</f>
        <v>Join Google Sites </v>
      </c>
      <c r="K48" s="133" t="s">
        <v>347</v>
      </c>
      <c r="L48" s="286"/>
      <c r="M48" s="258" t="str">
        <f>HYPERLINK("https://otis.teq.com/events/view/14401","Teq event")</f>
        <v>Teq event</v>
      </c>
      <c r="N48" s="286"/>
      <c r="O48" s="294" t="s">
        <v>359</v>
      </c>
      <c r="P48" s="283" t="s">
        <v>221</v>
      </c>
      <c r="Q48" s="64" t="s">
        <v>360</v>
      </c>
      <c r="R48" s="64"/>
    </row>
    <row r="49" ht="17.25" customHeight="1">
      <c r="A49" s="280"/>
      <c r="B49" s="281"/>
      <c r="C49" s="281"/>
      <c r="D49" s="282"/>
      <c r="E49" s="283" t="s">
        <v>342</v>
      </c>
      <c r="F49" s="284">
        <v>43929.0</v>
      </c>
      <c r="G49" s="133" t="s">
        <v>361</v>
      </c>
      <c r="H49" s="79" t="s">
        <v>362</v>
      </c>
      <c r="I49" s="283" t="s">
        <v>358</v>
      </c>
      <c r="J49" s="258" t="str">
        <f>HYPERLINK("https://otis.teq.com/events/view/14403","Join assessment ")</f>
        <v>Join assessment </v>
      </c>
      <c r="K49" s="133" t="s">
        <v>347</v>
      </c>
      <c r="L49" s="286"/>
      <c r="M49" s="258" t="str">
        <f>HYPERLINK("https://otis.teq.com/events/view/14403","Teq event")</f>
        <v>Teq event</v>
      </c>
      <c r="N49" s="286"/>
      <c r="O49" s="294" t="s">
        <v>359</v>
      </c>
      <c r="P49" s="283" t="s">
        <v>221</v>
      </c>
      <c r="Q49" s="64" t="s">
        <v>365</v>
      </c>
      <c r="R49" s="64" t="s">
        <v>366</v>
      </c>
    </row>
    <row r="50" ht="17.25" customHeight="1">
      <c r="A50" s="280"/>
      <c r="B50" s="281"/>
      <c r="C50" s="281"/>
      <c r="D50" s="282"/>
      <c r="E50" s="283" t="s">
        <v>270</v>
      </c>
      <c r="F50" s="296">
        <v>43934.0</v>
      </c>
      <c r="G50" s="43" t="s">
        <v>367</v>
      </c>
      <c r="H50" s="79" t="s">
        <v>368</v>
      </c>
      <c r="I50" s="283" t="s">
        <v>358</v>
      </c>
      <c r="J50" s="258" t="str">
        <f>HYPERLINK("https://otis.teq.com/events/view/14404","Join Intro to Classroom ")</f>
        <v>Join Intro to Classroom </v>
      </c>
      <c r="K50" s="133" t="s">
        <v>347</v>
      </c>
      <c r="L50" s="286"/>
      <c r="M50" s="258" t="str">
        <f>HYPERLINK("https://otis.teq.com/events/view/14404","Teq event")</f>
        <v>Teq event</v>
      </c>
      <c r="N50" s="286"/>
      <c r="O50" s="294" t="s">
        <v>359</v>
      </c>
      <c r="P50" s="283" t="s">
        <v>221</v>
      </c>
      <c r="Q50" s="64" t="s">
        <v>125</v>
      </c>
      <c r="R50" s="64"/>
    </row>
    <row r="51" ht="17.25" customHeight="1">
      <c r="A51" s="280"/>
      <c r="B51" s="281"/>
      <c r="C51" s="281"/>
      <c r="D51" s="282"/>
      <c r="E51" s="283" t="s">
        <v>342</v>
      </c>
      <c r="F51" s="284">
        <v>43936.0</v>
      </c>
      <c r="G51" s="133" t="s">
        <v>370</v>
      </c>
      <c r="H51" s="79" t="s">
        <v>371</v>
      </c>
      <c r="I51" s="283" t="s">
        <v>358</v>
      </c>
      <c r="J51" s="258" t="str">
        <f>HYPERLINK("https://otis.teq.com/events/view/14421","Join PBL in MS Teams")</f>
        <v>Join PBL in MS Teams</v>
      </c>
      <c r="K51" s="133" t="s">
        <v>347</v>
      </c>
      <c r="L51" s="286"/>
      <c r="M51" s="258" t="str">
        <f>HYPERLINK("https://otis.teq.com/events/view/14421","Teq event")</f>
        <v>Teq event</v>
      </c>
      <c r="N51" s="286"/>
      <c r="O51" s="294" t="s">
        <v>359</v>
      </c>
      <c r="P51" s="283" t="s">
        <v>221</v>
      </c>
      <c r="Q51" s="64" t="s">
        <v>55</v>
      </c>
      <c r="R51" s="64"/>
    </row>
    <row r="52" ht="17.25" customHeight="1">
      <c r="A52" s="280"/>
      <c r="B52" s="281"/>
      <c r="C52" s="281"/>
      <c r="D52" s="282"/>
      <c r="E52" s="283" t="s">
        <v>270</v>
      </c>
      <c r="F52" s="284">
        <v>43941.0</v>
      </c>
      <c r="G52" s="133" t="s">
        <v>376</v>
      </c>
      <c r="H52" s="79" t="s">
        <v>377</v>
      </c>
      <c r="I52" s="283" t="s">
        <v>358</v>
      </c>
      <c r="J52" s="258" t="str">
        <f>HYPERLINK("https://otis.teq.com/events/view/14377","Join vision boards")</f>
        <v>Join vision boards</v>
      </c>
      <c r="K52" s="133" t="s">
        <v>347</v>
      </c>
      <c r="L52" s="286"/>
      <c r="M52" s="258" t="str">
        <f>HYPERLINK("https://otis.teq.com/events/view/14377","Teq event")</f>
        <v>Teq event</v>
      </c>
      <c r="N52" s="286"/>
      <c r="O52" s="294" t="s">
        <v>359</v>
      </c>
      <c r="P52" s="283" t="s">
        <v>221</v>
      </c>
      <c r="Q52" s="64" t="s">
        <v>380</v>
      </c>
      <c r="R52" s="64"/>
    </row>
    <row r="53" ht="17.25" customHeight="1">
      <c r="A53" s="280"/>
      <c r="B53" s="281"/>
      <c r="C53" s="281"/>
      <c r="D53" s="282"/>
      <c r="E53" s="283" t="s">
        <v>342</v>
      </c>
      <c r="F53" s="284">
        <v>43943.0</v>
      </c>
      <c r="G53" s="133" t="s">
        <v>381</v>
      </c>
      <c r="H53" s="79" t="s">
        <v>382</v>
      </c>
      <c r="I53" s="283" t="s">
        <v>358</v>
      </c>
      <c r="J53" s="258" t="str">
        <f>HYPERLINK("https://otis.teq.com/events/view/14370","Join Podcasting")</f>
        <v>Join Podcasting</v>
      </c>
      <c r="K53" s="133" t="s">
        <v>347</v>
      </c>
      <c r="L53" s="286"/>
      <c r="M53" s="258" t="str">
        <f>HYPERLINK("https://otis.teq.com/events/view/14370","Teq event")</f>
        <v>Teq event</v>
      </c>
      <c r="N53" s="286"/>
      <c r="O53" s="294" t="s">
        <v>359</v>
      </c>
      <c r="P53" s="283" t="s">
        <v>221</v>
      </c>
      <c r="Q53" s="64" t="s">
        <v>386</v>
      </c>
      <c r="R53" s="64" t="s">
        <v>387</v>
      </c>
    </row>
    <row r="54" ht="17.25" customHeight="1">
      <c r="A54" s="280"/>
      <c r="B54" s="281"/>
      <c r="C54" s="281"/>
      <c r="D54" s="282"/>
      <c r="E54" s="283" t="s">
        <v>270</v>
      </c>
      <c r="F54" s="284">
        <v>43948.0</v>
      </c>
      <c r="G54" s="133" t="s">
        <v>388</v>
      </c>
      <c r="H54" s="79" t="s">
        <v>389</v>
      </c>
      <c r="I54" s="283" t="s">
        <v>358</v>
      </c>
      <c r="J54" s="258" t="str">
        <f>HYPERLINK("https://otis.teq.com/events/view/14420","Join PBL in Classroom")</f>
        <v>Join PBL in Classroom</v>
      </c>
      <c r="K54" s="133" t="s">
        <v>347</v>
      </c>
      <c r="L54" s="286"/>
      <c r="M54" s="258" t="str">
        <f>HYPERLINK("https://otis.teq.com/events/view/14420","Teq event")</f>
        <v>Teq event</v>
      </c>
      <c r="N54" s="286"/>
      <c r="O54" s="294" t="s">
        <v>359</v>
      </c>
      <c r="P54" s="283" t="s">
        <v>221</v>
      </c>
      <c r="Q54" s="64" t="s">
        <v>125</v>
      </c>
      <c r="R54" s="64"/>
    </row>
  </sheetData>
  <conditionalFormatting sqref="N1:N54">
    <cfRule type="containsBlanks" dxfId="0" priority="1">
      <formula>LEN(TRIM(N1))=0</formula>
    </cfRule>
  </conditionalFormatting>
  <hyperlinks>
    <hyperlink r:id="rId1" ref="J5"/>
    <hyperlink r:id="rId2" ref="K5"/>
    <hyperlink r:id="rId3" ref="L5"/>
    <hyperlink r:id="rId4" ref="J8"/>
    <hyperlink r:id="rId5" ref="K9"/>
    <hyperlink r:id="rId6" ref="L9"/>
    <hyperlink r:id="rId7" ref="J12"/>
    <hyperlink r:id="rId8" ref="K13"/>
    <hyperlink r:id="rId9" ref="M15"/>
    <hyperlink r:id="rId10" ref="M16"/>
    <hyperlink r:id="rId11" ref="J17"/>
    <hyperlink r:id="rId12" ref="K17"/>
    <hyperlink r:id="rId13" ref="J18"/>
    <hyperlink r:id="rId14" ref="K18"/>
    <hyperlink r:id="rId15" ref="L18"/>
    <hyperlink r:id="rId16" ref="M19"/>
    <hyperlink r:id="rId17" ref="J20"/>
    <hyperlink r:id="rId18" ref="M21"/>
    <hyperlink r:id="rId19" ref="M22"/>
    <hyperlink r:id="rId20" ref="J23"/>
    <hyperlink r:id="rId21" ref="L26"/>
    <hyperlink r:id="rId22" ref="L27"/>
    <hyperlink r:id="rId23" ref="J28"/>
    <hyperlink r:id="rId24" ref="K28"/>
    <hyperlink r:id="rId25" ref="L28"/>
    <hyperlink r:id="rId26" ref="J30"/>
    <hyperlink r:id="rId27" ref="J31"/>
    <hyperlink r:id="rId28" ref="K31"/>
    <hyperlink r:id="rId29" ref="L31"/>
    <hyperlink r:id="rId30" ref="K34"/>
    <hyperlink r:id="rId31" ref="J35"/>
    <hyperlink r:id="rId32" ref="J36"/>
    <hyperlink r:id="rId33" ref="K36"/>
    <hyperlink r:id="rId34" ref="L36"/>
    <hyperlink r:id="rId35" ref="J38"/>
    <hyperlink r:id="rId36" ref="L38"/>
    <hyperlink r:id="rId37" ref="J39"/>
    <hyperlink r:id="rId38" ref="L39"/>
    <hyperlink r:id="rId39" ref="J40"/>
    <hyperlink r:id="rId40" ref="L40"/>
    <hyperlink r:id="rId41" ref="J41"/>
    <hyperlink r:id="rId42" ref="L41"/>
    <hyperlink r:id="rId43" ref="J42"/>
    <hyperlink r:id="rId44" ref="J43"/>
    <hyperlink r:id="rId45" ref="H48"/>
    <hyperlink r:id="rId46" ref="O48"/>
    <hyperlink r:id="rId47" ref="H49"/>
    <hyperlink r:id="rId48" ref="O49"/>
    <hyperlink r:id="rId49" ref="H50"/>
    <hyperlink r:id="rId50" ref="O50"/>
    <hyperlink r:id="rId51" ref="H51"/>
    <hyperlink r:id="rId52" ref="O51"/>
    <hyperlink r:id="rId53" ref="H52"/>
    <hyperlink r:id="rId54" ref="O52"/>
    <hyperlink r:id="rId55" ref="H53"/>
    <hyperlink r:id="rId56" ref="O53"/>
    <hyperlink r:id="rId57" ref="H54"/>
    <hyperlink r:id="rId58" ref="O54"/>
  </hyperlinks>
  <printOptions gridLines="1" horizontalCentered="1"/>
  <pageMargins bottom="0.75" footer="0.0" header="0.0" left="0.7" right="0.7" top="0.75"/>
  <pageSetup fitToHeight="0" cellComments="atEnd" orientation="portrait" pageOrder="overThenDown"/>
  <drawing r:id="rId59"/>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0.43"/>
    <col customWidth="1" min="2" max="2" width="18.0"/>
    <col customWidth="1" min="4" max="4" width="33.57"/>
    <col customWidth="1" min="7" max="7" width="11.29"/>
    <col customWidth="1" min="8" max="14" width="66.57"/>
  </cols>
  <sheetData>
    <row r="1">
      <c r="A1" s="369" t="s">
        <v>9</v>
      </c>
      <c r="B1" s="369" t="s">
        <v>201</v>
      </c>
      <c r="C1" s="370" t="s">
        <v>517</v>
      </c>
      <c r="D1" s="369" t="s">
        <v>203</v>
      </c>
      <c r="E1" s="369" t="s">
        <v>13</v>
      </c>
      <c r="F1" s="369" t="s">
        <v>205</v>
      </c>
      <c r="G1" s="371" t="s">
        <v>22</v>
      </c>
      <c r="H1" s="372" t="s">
        <v>3</v>
      </c>
      <c r="I1" s="372"/>
      <c r="J1" s="372"/>
      <c r="K1" s="372"/>
      <c r="L1" s="372"/>
      <c r="M1" s="372"/>
      <c r="N1" s="372"/>
    </row>
    <row r="2">
      <c r="A2" s="373" t="s">
        <v>520</v>
      </c>
      <c r="B2" s="374" t="s">
        <v>521</v>
      </c>
      <c r="C2" s="375" t="str">
        <f>HYPERLINK("https://www.eventbrite.com/e/ilearnnyc-2-day-blended-learning-institute-february-27-and-march-29th-tickets-42052972573","Register here")</f>
        <v>Register here</v>
      </c>
      <c r="D2" s="376" t="s">
        <v>522</v>
      </c>
      <c r="E2" s="376" t="s">
        <v>523</v>
      </c>
      <c r="F2" s="376" t="s">
        <v>524</v>
      </c>
      <c r="G2" s="377" t="s">
        <v>525</v>
      </c>
      <c r="H2" s="378" t="str">
        <f>HYPERLINK("https://docs.google.com/forms/d/e/1FAIpQLSf1X0u5K60sK8_jZO7Vpf-t6nJ3TZtjtR-c7kT2mf2zH9ABLA/viewform","This is a F2F institute that guides educators to teach in blended classroom environments. Participants will learn effective strategies for managing and teaching students in blended environments and explore the ways blended learning can effectively support"&amp;" standards-based teaching and learning in all subject areas. In addition, participants learn to meet the needs of all students by selecting and using a variety of teaching tools that aid in personalizing learning. Attendees will plan, create and develop a"&amp;" blended lesson using digital resources that they will implement in the classroom. Bring your laptop each session and headset with microphone for Day 2.  A limited number of licenses will be provided to attendees.  Attendees must complete this survey. ")</f>
        <v>This is a F2F institute that guides educators to teach in blended classroom environments. Participants will learn effective strategies for managing and teaching students in blended environments and explore the ways blended learning can effectively support standards-based teaching and learning in all subject areas. In addition, participants learn to meet the needs of all students by selecting and using a variety of teaching tools that aid in personalizing learning. Attendees will plan, create and develop a blended lesson using digital resources that they will implement in the classroom. Bring your laptop each session and headset with microphone for Day 2.  A limited number of licenses will be provided to attendees.  Attendees must complete this survey. </v>
      </c>
      <c r="I2" s="379"/>
      <c r="J2" s="379"/>
      <c r="K2" s="379"/>
      <c r="L2" s="379"/>
      <c r="M2" s="379"/>
      <c r="N2" s="379"/>
    </row>
    <row r="3">
      <c r="A3" s="380">
        <v>43271.0</v>
      </c>
      <c r="B3" s="381" t="s">
        <v>527</v>
      </c>
      <c r="C3" s="382" t="s">
        <v>528</v>
      </c>
      <c r="D3" s="383" t="s">
        <v>530</v>
      </c>
      <c r="E3" s="383" t="s">
        <v>531</v>
      </c>
      <c r="F3" s="385" t="s">
        <v>532</v>
      </c>
      <c r="G3" s="386" t="s">
        <v>533</v>
      </c>
      <c r="H3" s="383" t="s">
        <v>534</v>
      </c>
      <c r="I3" s="387"/>
      <c r="J3" s="387"/>
      <c r="K3" s="387"/>
      <c r="L3" s="387"/>
      <c r="M3" s="387"/>
      <c r="N3" s="387"/>
    </row>
    <row r="4">
      <c r="A4" s="380">
        <v>43265.0</v>
      </c>
      <c r="B4" s="389" t="str">
        <f>HYPERLINK("https://myevents.apple.com/content/events/us_education/us/en/k12macnycdoe-land.html?token=drj2zDP41Q9Q4RQOj_Xi7pbgwnQ3wEkkfdv_7oX7HM3oiFyS9Z9xJtmVqF9tJrtJNUKPdXwrrIT_4UgXLr3YNIxwlQqRF_aFdOL9ZrNbZnE","Deploying Mac in NYCDOE")</f>
        <v>Deploying Mac in NYCDOE</v>
      </c>
      <c r="C4" s="382" t="str">
        <f>HYPERLINK("https://myevents.apple.com/content/events/us_education/us/en/k12macnycdoe-land/k12macnycdoe-rgst.html?token=drj2zDP41Q9Q4RQOj_Xi7pLFpu8WCpt4X7koxR83-UhLayXrNshxbVkigV_PBsbFyU2uyVLFHAUIbD-jTt06d5k-1CcciFrkfvNH9JWa3CI","Register here")</f>
        <v>Register here</v>
      </c>
      <c r="D4" s="383" t="s">
        <v>535</v>
      </c>
      <c r="E4" s="383" t="s">
        <v>409</v>
      </c>
      <c r="F4" s="385" t="s">
        <v>536</v>
      </c>
      <c r="G4" s="386"/>
      <c r="H4" s="383" t="s">
        <v>537</v>
      </c>
      <c r="I4" s="387"/>
      <c r="J4" s="387"/>
      <c r="K4" s="387"/>
      <c r="L4" s="387"/>
      <c r="M4" s="387"/>
      <c r="N4" s="387"/>
    </row>
    <row r="5">
      <c r="A5" s="380">
        <v>43265.0</v>
      </c>
      <c r="B5" s="389" t="str">
        <f>HYPERLINK("https://myevents.apple.com/content/events/us_education/us/en/k12ipadnycdoe-land.html?token=KZiuJULB9EJ_9tICFzVoO3L2uZ9NPSvX5aq69W5eVfccG-3_6pyV_2Vjbj9iIjVQbC1-yoHUH7zD26RrZyVwWr_d3Q7uY_cLYMvMOWPMkiM","Deploying iOS in NYCDOE")</f>
        <v>Deploying iOS in NYCDOE</v>
      </c>
      <c r="C5" s="382" t="str">
        <f>HYPERLINK("https://myevents.apple.com/content/events/us_education/us/en/k12ipadnycdoe-land/k12ipadnycdoe-rgst.html?token=KZiuJULB9EJ_9tICFzVoO5cVstCQ8rOjTuKzxV-RqAgvtGQXdIEm2IbkpK3CtpAnEdJmauC_ruOc0ZEZUU0N5jAwRaLH55C-YHE5tK7bXfE","Register here")</f>
        <v>Register here</v>
      </c>
      <c r="D5" s="383" t="s">
        <v>535</v>
      </c>
      <c r="E5" s="383" t="s">
        <v>444</v>
      </c>
      <c r="F5" s="385" t="s">
        <v>536</v>
      </c>
      <c r="G5" s="386"/>
      <c r="H5" s="383" t="s">
        <v>538</v>
      </c>
      <c r="I5" s="387"/>
      <c r="J5" s="387"/>
      <c r="K5" s="387"/>
      <c r="L5" s="387"/>
      <c r="M5" s="387"/>
      <c r="N5" s="387"/>
    </row>
    <row r="6">
      <c r="A6" s="380">
        <v>43264.0</v>
      </c>
      <c r="B6" s="389" t="str">
        <f>HYPERLINK("https://docs.google.com/document/d/1VDGGAN3gMtgYOL4F-kY_l-mpNSISQsHF-x3ASP81Fno/edit","Applied Digital Skills by Google")</f>
        <v>Applied Digital Skills by Google</v>
      </c>
      <c r="C6" s="382" t="str">
        <f>HYPERLINK("https://docs.google.com/forms/d/e/1FAIpQLSetoRjRfDvhNtXcUcFnEF7qG7Zf_lSYpfWDjd5LNvzltwbEsA/viewform","Register here")</f>
        <v>Register here</v>
      </c>
      <c r="D6" s="383" t="s">
        <v>530</v>
      </c>
      <c r="E6" s="383" t="s">
        <v>539</v>
      </c>
      <c r="F6" s="383" t="s">
        <v>540</v>
      </c>
      <c r="G6" s="386"/>
      <c r="H6" s="391" t="s">
        <v>541</v>
      </c>
      <c r="I6" s="392"/>
      <c r="J6" s="392"/>
      <c r="K6" s="392"/>
      <c r="L6" s="392"/>
      <c r="M6" s="392"/>
      <c r="N6" s="392"/>
    </row>
    <row r="7">
      <c r="A7" s="380">
        <v>43264.0</v>
      </c>
      <c r="B7" s="389" t="str">
        <f>HYPERLINK("https://myevents.apple.com/content/events/us_education/us/en/k12-getting-started-nycdoe---land.html?token=OL9uEfYwBuOUThUYLQIy7EeQUEjQFrf4DfX6MUhmvfLmghVjZps_johJFxTLpEisjyz-NFtbMY7I5PjKkz5yut7sBQe-ydAjRBU52MecJkM&amp;a=1&amp;l=e","Getting Started Deploying Mac in the NYC DOE")</f>
        <v>Getting Started Deploying Mac in the NYC DOE</v>
      </c>
      <c r="C7" s="382" t="str">
        <f>HYPERLINK("https://myevents.apple.com/content/events/us_education/us/en/k12-getting-started-nycdoe---land.html?token=OL9uEfYwBuOUThUYLQIy7EeQUEjQFrf4DfX6MUhmvfLmghVjZps_johJFxTLpEisjyz-NFtbMY7I5PjKkz5yut7sBQe-ydAjRBU52MecJkM&amp;a=1&amp;l=e","Register here")</f>
        <v>Register here</v>
      </c>
      <c r="D7" s="383" t="s">
        <v>544</v>
      </c>
      <c r="E7" s="383" t="s">
        <v>545</v>
      </c>
      <c r="F7" s="385" t="s">
        <v>536</v>
      </c>
      <c r="G7" s="386"/>
      <c r="H7" s="383" t="s">
        <v>546</v>
      </c>
      <c r="I7" s="387"/>
      <c r="J7" s="387"/>
      <c r="K7" s="387"/>
      <c r="L7" s="387"/>
      <c r="M7" s="387"/>
      <c r="N7" s="387"/>
    </row>
    <row r="8">
      <c r="A8" s="380">
        <v>43258.0</v>
      </c>
      <c r="B8" s="378" t="str">
        <f>HYPERLINK("https://www.eventbrite.com/e/izoneilearnnyc-end-of-year-symposium-june-7-2018-tickets-42359425181","iZone/iLearnNYC End of Year Symposium")</f>
        <v>iZone/iLearnNYC End of Year Symposium</v>
      </c>
      <c r="C8" s="375" t="str">
        <f>HYPERLINK("https://www.eventbrite.com/e/izoneilearnnyc-end-of-year-symposium-june-7-2018-tickets-42359425181","Register here")</f>
        <v>Register here</v>
      </c>
      <c r="D8" s="376" t="s">
        <v>549</v>
      </c>
      <c r="E8" s="376" t="s">
        <v>550</v>
      </c>
      <c r="F8" s="397" t="s">
        <v>551</v>
      </c>
      <c r="G8" s="377" t="s">
        <v>525</v>
      </c>
      <c r="H8" s="376" t="s">
        <v>552</v>
      </c>
      <c r="I8" s="387"/>
      <c r="J8" s="387"/>
      <c r="K8" s="387"/>
      <c r="L8" s="387"/>
      <c r="M8" s="387"/>
      <c r="N8" s="387"/>
    </row>
    <row r="9">
      <c r="A9" s="380">
        <v>43249.0</v>
      </c>
      <c r="B9" s="378" t="str">
        <f>HYPERLINK("https://myevents.apple.com/content/events/us_education/us/en/k12macnycdoe-land.html?token=drj2zDP41Q9Q4RQOj_Xi7n77heZ2wTSjvVRVT54V-qhmWygKTH9k-qs4ZZkTfkCnGyL45UWRS0FITNHRpmJb0f4Ht1KEpZL7rWJJw_0dXJo","Deploying Mac in NYCDOE")</f>
        <v>Deploying Mac in NYCDOE</v>
      </c>
      <c r="C9" s="402" t="str">
        <f>HYPERLINK("https://myevents.apple.com/content/events/us_education/us/en/k12macnycdoe-land/k12macnycdoe-rgst.html?token=drj2zDP41Q9Q4RQOj_Xi7uZRJXfKrRGT20R3ISHGPia8YIJMSyG2VGEG8iRtlEs90neF5mcCy8yoq41SmXAvPbZpVWG9IGC_X6JXGnprB3W23LTB2aLvFeVFZuKYDBow&amp;a=1&amp;l=r","Register here")</f>
        <v>Register here</v>
      </c>
      <c r="D9" s="376" t="s">
        <v>535</v>
      </c>
      <c r="E9" s="376" t="s">
        <v>409</v>
      </c>
      <c r="F9" s="397" t="s">
        <v>536</v>
      </c>
      <c r="G9" s="377"/>
      <c r="H9" s="376" t="s">
        <v>537</v>
      </c>
      <c r="I9" s="387"/>
      <c r="J9" s="387"/>
      <c r="K9" s="387"/>
      <c r="L9" s="387"/>
      <c r="M9" s="387"/>
      <c r="N9" s="387"/>
    </row>
    <row r="10">
      <c r="A10" s="380">
        <v>43249.0</v>
      </c>
      <c r="B10" s="378" t="str">
        <f>HYPERLINK("https://myevents.apple.com/content/events/us_education/us/en/k12ipadnycdoe-land.html?token=KZiuJULB9EJ_9tICFzVoO1CxtN9L3wB2qyjqR4L-V62qaVGQhZxtHj3AO9zlDj73KCTWSQ88uvYH6_1ThwBPalEL8a-C5m7OjHJTW18KD-E","Deploying iOS in NYCDOE")</f>
        <v>Deploying iOS in NYCDOE</v>
      </c>
      <c r="C10" s="402" t="str">
        <f>HYPERLINK("https://myevents.apple.com/content/events/us_education/us/en/k12ipadnycdoe-land/k12ipadnycdoe-rgst.html?token=KZiuJULB9EJ_9tICFzVoO9I8P6Mg_WdFcu-Dh0TDEgs_DBkL3941LCMcVzTZrteSZqNpYWnNduGCnouRpp39E6U2k_N7aWWaj_Oa24ApUroR7ywbY-pT6sABJbk_Z7_-&amp;a=1&amp;l=r","Reigster here")</f>
        <v>Reigster here</v>
      </c>
      <c r="D10" s="376" t="s">
        <v>535</v>
      </c>
      <c r="E10" s="376" t="s">
        <v>444</v>
      </c>
      <c r="F10" s="397" t="s">
        <v>536</v>
      </c>
      <c r="G10" s="377"/>
      <c r="H10" s="376" t="s">
        <v>538</v>
      </c>
      <c r="I10" s="387"/>
      <c r="J10" s="387"/>
      <c r="K10" s="387"/>
      <c r="L10" s="387"/>
      <c r="M10" s="387"/>
      <c r="N10" s="387"/>
    </row>
    <row r="11">
      <c r="A11" s="380">
        <v>43239.0</v>
      </c>
      <c r="B11" s="378" t="str">
        <f>HYPERLINK("https://na01.safelinks.protection.outlook.com/?url=http%3A%2F%2Ftinyurl.com%2Fmfscmakered&amp;data=02%7C01%7C%7Cd00e4356542f47011b9808d59be002c9%7C18492cb7ef45456185710c42e5f7ac07%7C0%7C0%7C636586308784464248&amp;sdata=n8ooE0D%2Bw1usvJmOJgrDt%2B6q07W8vWLr34HTukIE"&amp;"HDw%3D&amp;reserved=0","Manhattan Make-A-Thon")</f>
        <v>Manhattan Make-A-Thon</v>
      </c>
      <c r="C11" s="375" t="str">
        <f>HYPERLINK("https://na01.safelinks.protection.outlook.com/?url=https%3A%2F%2Fwww.eventbrite.com%2Fe%2Fmanhattan-make-a-thon-tickets-43411230158%3Futm-medium%3Ddiscovery%26utm-campaign%3Dsocial%26utm-content%3Dattendeeshare%26aff%3Descb%26utm-source%3Dcp%26utm-term%3D"&amp;"listing&amp;data=02%7C01%7C%7Cd00e4356542f47011b9808d59be002c9%7C18492cb7ef45456185710c42e5f7ac07%7C0%7C0%7C636586308784464248&amp;sdata=hs4MvALGxl8ztFt5DfXGXDH4m3NC2K5I3tP3aCqIHAY%3D&amp;reserved=0","Register here")</f>
        <v>Register here</v>
      </c>
      <c r="D11" s="376" t="s">
        <v>560</v>
      </c>
      <c r="E11" s="376" t="s">
        <v>561</v>
      </c>
      <c r="F11" s="376" t="s">
        <v>562</v>
      </c>
      <c r="G11" s="377"/>
      <c r="H11" s="376" t="s">
        <v>563</v>
      </c>
      <c r="I11" s="387"/>
      <c r="J11" s="387"/>
      <c r="K11" s="387"/>
      <c r="L11" s="387"/>
      <c r="M11" s="387"/>
      <c r="N11" s="387"/>
    </row>
    <row r="12">
      <c r="A12" s="380">
        <v>43237.0</v>
      </c>
      <c r="B12" s="378" t="str">
        <f t="shared" ref="B12:B13" si="1">HYPERLINK("https://nycdoe-my.sharepoint.com/:b:/g/personal/ggarcia22_schools_nyc_gov/EZmGZBKj4fFIomK8kedkkGsBOo4Mw8S_IS4S7wXGUcJ76Q?e=2J2amb","Microsoft - Windows 10 Training")</f>
        <v>Microsoft - Windows 10 Training</v>
      </c>
      <c r="C12" s="375" t="str">
        <f>HYPERLINK("https://www.microsoftevents.com/profile/3727440","Register here")</f>
        <v>Register here</v>
      </c>
      <c r="D12" s="376" t="s">
        <v>566</v>
      </c>
      <c r="E12" s="376" t="s">
        <v>567</v>
      </c>
      <c r="F12" s="397" t="s">
        <v>52</v>
      </c>
      <c r="G12" s="377"/>
      <c r="H12" s="376" t="s">
        <v>568</v>
      </c>
      <c r="I12" s="387"/>
      <c r="J12" s="387"/>
      <c r="K12" s="387"/>
      <c r="L12" s="387"/>
      <c r="M12" s="387"/>
      <c r="N12" s="387"/>
    </row>
    <row r="13">
      <c r="A13" s="380">
        <v>43237.0</v>
      </c>
      <c r="B13" s="378" t="str">
        <f t="shared" si="1"/>
        <v>Microsoft - Windows 10 Training</v>
      </c>
      <c r="C13" s="375" t="str">
        <f>HYPERLINK("https://www.microsoftevents.com/profile/3727592","Register here")</f>
        <v>Register here</v>
      </c>
      <c r="D13" s="376" t="s">
        <v>566</v>
      </c>
      <c r="E13" s="376" t="s">
        <v>415</v>
      </c>
      <c r="F13" s="397" t="s">
        <v>52</v>
      </c>
      <c r="G13" s="377"/>
      <c r="H13" s="376" t="s">
        <v>568</v>
      </c>
      <c r="I13" s="387"/>
      <c r="J13" s="387"/>
      <c r="K13" s="387"/>
      <c r="L13" s="387"/>
      <c r="M13" s="387"/>
      <c r="N13" s="387"/>
    </row>
    <row r="14">
      <c r="A14" s="380">
        <v>43236.0</v>
      </c>
      <c r="B14" s="378" t="str">
        <f>HYPERLINK("https://nycdoe-my.sharepoint.com/personal/nschepi_schools_nyc_gov/_layouts/15/guestaccess.aspx?folderid=0d41c834e3d62419195aeba5b4bda8709&amp;authkey=AeZr6ag6xwE_hnzKD4EiFhk","Apple &amp; Windows Imaging")</f>
        <v>Apple &amp; Windows Imaging</v>
      </c>
      <c r="C14" s="375" t="str">
        <f>HYPERLINK("https://www.surveygizmo.com/s3/2325967/SPOC-PD-Registration","Register here")</f>
        <v>Register here</v>
      </c>
      <c r="D14" s="376" t="s">
        <v>573</v>
      </c>
      <c r="E14" s="376" t="s">
        <v>539</v>
      </c>
      <c r="F14" s="397" t="s">
        <v>116</v>
      </c>
      <c r="G14" s="377" t="s">
        <v>525</v>
      </c>
      <c r="H14" s="376" t="s">
        <v>574</v>
      </c>
      <c r="I14" s="387"/>
      <c r="J14" s="387"/>
      <c r="K14" s="387"/>
      <c r="L14" s="387"/>
      <c r="M14" s="387"/>
      <c r="N14" s="387"/>
    </row>
    <row r="15">
      <c r="A15" s="380">
        <v>43235.0</v>
      </c>
      <c r="B15" s="374" t="s">
        <v>575</v>
      </c>
      <c r="C15" s="375" t="str">
        <f>HYPERLINK("https://www.eventbrite.com/e/ilearnnyc-turn-it-up-part-2-flipped-classroom-using-google-hangout-and-edpuzzle-tickets-38052016606","Register here")</f>
        <v>Register here</v>
      </c>
      <c r="D15" s="376" t="s">
        <v>522</v>
      </c>
      <c r="E15" s="376" t="s">
        <v>539</v>
      </c>
      <c r="F15" s="376" t="s">
        <v>524</v>
      </c>
      <c r="G15" s="377" t="s">
        <v>525</v>
      </c>
      <c r="H15" s="376" t="s">
        <v>576</v>
      </c>
      <c r="I15" s="387"/>
      <c r="J15" s="387"/>
      <c r="K15" s="387"/>
      <c r="L15" s="387"/>
      <c r="M15" s="387"/>
      <c r="N15" s="387"/>
    </row>
    <row r="16">
      <c r="A16" s="380">
        <v>43231.0</v>
      </c>
      <c r="B16" s="378" t="str">
        <f>HYPERLINK("https://docs.google.com/document/d/1ho6HAvMhHsTWdYLGTSjNHNpVtHgxdvx3q3mP48UKyBo/edit?usp=sharing","The Big Three in the Classroom: Apple, Google &amp; Microsoft")</f>
        <v>The Big Three in the Classroom: Apple, Google &amp; Microsoft</v>
      </c>
      <c r="C16" s="417" t="s">
        <v>582</v>
      </c>
      <c r="D16" s="376" t="s">
        <v>583</v>
      </c>
      <c r="E16" s="376" t="s">
        <v>539</v>
      </c>
      <c r="F16" s="397" t="s">
        <v>116</v>
      </c>
      <c r="G16" s="377" t="s">
        <v>525</v>
      </c>
      <c r="H16" s="376" t="s">
        <v>584</v>
      </c>
      <c r="I16" s="387"/>
      <c r="J16" s="387"/>
      <c r="K16" s="387"/>
      <c r="L16" s="387"/>
      <c r="M16" s="387"/>
      <c r="N16" s="387"/>
    </row>
    <row r="17">
      <c r="A17" s="380">
        <v>43230.0</v>
      </c>
      <c r="B17" s="376" t="s">
        <v>585</v>
      </c>
      <c r="C17" s="375" t="str">
        <f>HYPERLINK("https://www.eventbrite.com/e/ilearnnyc-tell-your-tale-digital-storytelling-for-the-classroom-tickets-38053048693","Register here")</f>
        <v>Register here</v>
      </c>
      <c r="D17" s="376" t="s">
        <v>522</v>
      </c>
      <c r="E17" s="376" t="s">
        <v>539</v>
      </c>
      <c r="F17" s="376" t="s">
        <v>524</v>
      </c>
      <c r="G17" s="377" t="s">
        <v>525</v>
      </c>
      <c r="H17" s="376" t="s">
        <v>586</v>
      </c>
      <c r="I17" s="387"/>
      <c r="J17" s="387"/>
      <c r="K17" s="387"/>
      <c r="L17" s="387"/>
      <c r="M17" s="387"/>
      <c r="N17" s="387"/>
    </row>
    <row r="18">
      <c r="A18" s="380">
        <v>43230.0</v>
      </c>
      <c r="B18" s="389" t="str">
        <f>HYPERLINK("https://myevents.apple.com/content/events/us_education/us/en/k12-getting-started-nycdoe---land.html?token=OL9uEfYwBuOUThUYLQIy7DWlEwg2S8m2ClG2RAd04h2NQa3fJA8i79H--hBYAcHEQ1IGVuidZCI8AkMkaZenRs26kMytnj7yb89YrAN4adY&amp;a=1&amp;l=e","Getting Started Deploying Mac in the NYC DOE")</f>
        <v>Getting Started Deploying Mac in the NYC DOE</v>
      </c>
      <c r="C18" s="382" t="str">
        <f>HYPERLINK("https://myevents.apple.com/content/events/us_education/us/en/k12-getting-started-nycdoe---land.html?token=OL9uEfYwBuOUThUYLQIy7DWlEwg2S8m2ClG2RAd04h2NQa3fJA8i79H--hBYAcHEQ1IGVuidZCI8AkMkaZenRs26kMytnj7yb89YrAN4adY&amp;a=1&amp;l=e","Register here")</f>
        <v>Register here</v>
      </c>
      <c r="D18" s="383" t="s">
        <v>544</v>
      </c>
      <c r="E18" s="383" t="s">
        <v>545</v>
      </c>
      <c r="F18" s="385" t="s">
        <v>536</v>
      </c>
      <c r="G18" s="377"/>
      <c r="H18" s="383" t="s">
        <v>546</v>
      </c>
      <c r="I18" s="387"/>
      <c r="J18" s="387"/>
      <c r="K18" s="387"/>
      <c r="L18" s="387"/>
      <c r="M18" s="387"/>
      <c r="N18" s="387"/>
    </row>
    <row r="19">
      <c r="A19" s="380">
        <v>43228.0</v>
      </c>
      <c r="B19" s="389" t="str">
        <f>HYPERLINK("https://www.eventbrite.com/e/innovative-teaching-co-op-monthly-meetup-may-2018-izone-tickets-44794167561","Innovative Teaching Co-op")</f>
        <v>Innovative Teaching Co-op</v>
      </c>
      <c r="C19" s="382" t="str">
        <f>HYPERLINK("https://www.eventbrite.com/e/innovative-teaching-co-op-monthly-meetup-may-2018-izone-tickets-44794167561","Register here")</f>
        <v>Register here</v>
      </c>
      <c r="D19" s="383" t="s">
        <v>587</v>
      </c>
      <c r="E19" s="383" t="s">
        <v>588</v>
      </c>
      <c r="F19" s="389" t="str">
        <f>HYPERLINK("http://educatellc.com/","Educate LLC")</f>
        <v>Educate LLC</v>
      </c>
      <c r="G19" s="377" t="s">
        <v>525</v>
      </c>
      <c r="H19" s="383" t="s">
        <v>589</v>
      </c>
      <c r="I19" s="387"/>
      <c r="J19" s="387"/>
      <c r="K19" s="387"/>
      <c r="L19" s="387"/>
      <c r="M19" s="387"/>
      <c r="N19" s="387"/>
    </row>
    <row r="20">
      <c r="A20" s="380">
        <v>43224.0</v>
      </c>
      <c r="B20" s="378" t="str">
        <f>HYPERLINK("https://nycdoe-my.sharepoint.com/personal/nschepi_schools_nyc_gov/_layouts/15/guestaccess.aspx?folderid=0d41c834e3d62419195aeba5b4bda8709&amp;authkey=AeZr6ag6xwE_hnzKD4EiFhk","Maximize your Existing Bandwidth")</f>
        <v>Maximize your Existing Bandwidth</v>
      </c>
      <c r="C20" s="375" t="str">
        <f>HYPERLINK("https://www.surveygizmo.com/s3/2325967/SPOC-PD-Registration","Register here")</f>
        <v>Register here</v>
      </c>
      <c r="D20" s="376" t="s">
        <v>592</v>
      </c>
      <c r="E20" s="376" t="s">
        <v>539</v>
      </c>
      <c r="F20" s="397" t="s">
        <v>116</v>
      </c>
      <c r="G20" s="377" t="s">
        <v>525</v>
      </c>
      <c r="H20" s="376" t="s">
        <v>594</v>
      </c>
      <c r="I20" s="387"/>
      <c r="J20" s="387"/>
      <c r="K20" s="387"/>
      <c r="L20" s="387"/>
      <c r="M20" s="387"/>
      <c r="N20" s="387"/>
    </row>
    <row r="21">
      <c r="A21" s="380">
        <v>43222.0</v>
      </c>
      <c r="B21" s="378" t="str">
        <f>HYPERLINK("https://nycdoe-my.sharepoint.com/personal/nschepi_schools_nyc_gov/_layouts/15/guestaccess.aspx?folderid=0d41c834e3d62419195aeba5b4bda8709&amp;authkey=AeZr6ag6xwE_hnzKD4EiFhk","Computer Support Basics")</f>
        <v>Computer Support Basics</v>
      </c>
      <c r="C21" s="375" t="s">
        <v>224</v>
      </c>
      <c r="D21" s="376" t="s">
        <v>573</v>
      </c>
      <c r="E21" s="376" t="s">
        <v>539</v>
      </c>
      <c r="F21" s="397" t="s">
        <v>116</v>
      </c>
      <c r="G21" s="377" t="s">
        <v>525</v>
      </c>
      <c r="H21" s="376" t="s">
        <v>595</v>
      </c>
      <c r="I21" s="387"/>
      <c r="J21" s="387"/>
      <c r="K21" s="387"/>
      <c r="L21" s="387"/>
      <c r="M21" s="387"/>
      <c r="N21" s="387"/>
    </row>
    <row r="22">
      <c r="A22" s="380">
        <v>43216.0</v>
      </c>
      <c r="B22" s="378" t="str">
        <f>HYPERLINK("https://myevents.apple.com/content/events/us_education/us/en/k12macnycdoe-land.html?token=drj2zDP41Q9Q4RQOj_Xi7vh-6ruDtufck4DoJDv4Cxe1v4fH3pNLUQtvm3EiyZySPiHjzA3S0X4Kx1wyS6zlKtNnMLLiVa468bquoA8AZSc","Deploying Mac in NYCDOE")</f>
        <v>Deploying Mac in NYCDOE</v>
      </c>
      <c r="C22" s="375" t="str">
        <f>HYPERLINK("https://myevents.apple.com/content/events/us_education/us/en/k12macnycdoe-land/k12macnycdoe-rgst.html?token=drj2zDP41Q9Q4RQOj_Xi7lk-AeWi9cOibBlabPtNhVN6StueVDTIS6UtGaFFazn2eern3glXXLn7VBM9MMGfEPE_qsj3mpESCLA5dWenmjA","Register here")</f>
        <v>Register here</v>
      </c>
      <c r="D22" s="376" t="s">
        <v>535</v>
      </c>
      <c r="E22" s="376" t="s">
        <v>409</v>
      </c>
      <c r="F22" s="397" t="s">
        <v>536</v>
      </c>
      <c r="G22" s="377"/>
      <c r="H22" s="376" t="s">
        <v>537</v>
      </c>
      <c r="I22" s="387"/>
      <c r="J22" s="387"/>
      <c r="K22" s="387"/>
      <c r="L22" s="387"/>
      <c r="M22" s="387"/>
      <c r="N22" s="387"/>
    </row>
    <row r="23">
      <c r="A23" s="380">
        <v>43216.0</v>
      </c>
      <c r="B23" s="378" t="str">
        <f>HYPERLINK("https://myevents.apple.com/content/events/us_education/us/en/k12ipadnycdoe-land.html?token=0eS6qqntOZZT6la8OxK0U23p7OefM76wI4dHCXTe4jNWIakvcN-XFRuNDT_XE92JpDQEOTF0jEsiIH0A4dkZtJwFmY43WfsUjyjelY1Tprs","Deploying iOS in NYCDOE")</f>
        <v>Deploying iOS in NYCDOE</v>
      </c>
      <c r="C23" s="375" t="str">
        <f>HYPERLINK("https://myevents.apple.com/content/events/us_education/us/en/k12ipadnycdoe-land/k12ipadnycdoe-rgst.html?token=0eS6qqntOZZT6la8OxK0U5OSpB7ne0XkEFnB4hUMRApvRsmt0yNvE2NykrAWXbxho2oIrn9Vr2ueFF0nCyC-amB0sWtq07EjrPAlT1qm5bg","Register here")</f>
        <v>Register here</v>
      </c>
      <c r="D23" s="376" t="s">
        <v>535</v>
      </c>
      <c r="E23" s="376" t="s">
        <v>444</v>
      </c>
      <c r="F23" s="397" t="s">
        <v>536</v>
      </c>
      <c r="G23" s="377"/>
      <c r="H23" s="376" t="s">
        <v>538</v>
      </c>
      <c r="I23" s="387"/>
      <c r="J23" s="387"/>
      <c r="K23" s="387"/>
      <c r="L23" s="387"/>
      <c r="M23" s="387"/>
      <c r="N23" s="387"/>
    </row>
    <row r="24">
      <c r="A24" s="380">
        <v>43210.0</v>
      </c>
      <c r="B24" s="378" t="str">
        <f>HYPERLINK("https://nycdoe-my.sharepoint.com/personal/nschepi_schools_nyc_gov/_layouts/15/guestaccess.aspx?folderid=0d41c834e3d62419195aeba5b4bda8709&amp;authkey=AeZr6ag6xwE_hnzKD4EiFhk","Computer Support Basics")</f>
        <v>Computer Support Basics</v>
      </c>
      <c r="C24" s="375" t="str">
        <f>HYPERLINK("https://www.surveygizmo.com/s3/2325967/SPOC-PD-Registration","Register here")</f>
        <v>Register here</v>
      </c>
      <c r="D24" s="376" t="s">
        <v>596</v>
      </c>
      <c r="E24" s="376" t="s">
        <v>539</v>
      </c>
      <c r="F24" s="397" t="s">
        <v>116</v>
      </c>
      <c r="G24" s="377" t="s">
        <v>525</v>
      </c>
      <c r="H24" s="376" t="s">
        <v>595</v>
      </c>
      <c r="I24" s="387"/>
      <c r="J24" s="387"/>
      <c r="K24" s="387"/>
      <c r="L24" s="387"/>
      <c r="M24" s="387"/>
      <c r="N24" s="387"/>
    </row>
    <row r="25">
      <c r="A25" s="380">
        <v>43209.0</v>
      </c>
      <c r="B25" s="376" t="s">
        <v>597</v>
      </c>
      <c r="C25" s="375" t="str">
        <f>HYPERLINK("https://www.eventbrite.com/e/ilearnnyc-ins-and-outs-of-google-classroom-tickets-42054295530","Register here")</f>
        <v>Register here</v>
      </c>
      <c r="D25" s="376" t="s">
        <v>522</v>
      </c>
      <c r="E25" s="376" t="s">
        <v>539</v>
      </c>
      <c r="F25" s="376" t="s">
        <v>524</v>
      </c>
      <c r="G25" s="377" t="s">
        <v>525</v>
      </c>
      <c r="H25" s="376" t="s">
        <v>599</v>
      </c>
      <c r="I25" s="387"/>
      <c r="J25" s="387"/>
      <c r="K25" s="387"/>
      <c r="L25" s="387"/>
      <c r="M25" s="387"/>
      <c r="N25" s="387"/>
    </row>
    <row r="26">
      <c r="A26" s="380">
        <v>43203.0</v>
      </c>
      <c r="B26" s="378" t="str">
        <f>HYPERLINK("https://myevents.apple.com/content/events/us_education/us/en/k12-getting-started-nycdoe---land.html?token=OL9uEfYwBuOUThUYLQIy7ANYdHkB4RqPGL5UFyU0kOKvwhQHuEiFktjQlKBQ3L_f-LfUArTNcDuj-Krh3tp42Ks3TTbktO52cYHP_u7JG9k&amp;a=1&amp;l=e","Getting Started Deploying Mac in the NYC DOE")</f>
        <v>Getting Started Deploying Mac in the NYC DOE</v>
      </c>
      <c r="C26" s="375" t="str">
        <f>HYPERLINK("https://myevents.apple.com/content/events/us_education/us/en/k12-getting-started-nycdoe---land.html?token=OL9uEfYwBuOUThUYLQIy7ANYdHkB4RqPGL5UFyU0kOKvwhQHuEiFktjQlKBQ3L_f-LfUArTNcDuj-Krh3tp42Ks3TTbktO52cYHP_u7JG9k&amp;a=1&amp;l=e","Register here")</f>
        <v>Register here</v>
      </c>
      <c r="D26" s="376" t="s">
        <v>544</v>
      </c>
      <c r="E26" s="376" t="s">
        <v>545</v>
      </c>
      <c r="F26" s="397" t="s">
        <v>536</v>
      </c>
      <c r="G26" s="377"/>
      <c r="H26" s="376" t="s">
        <v>546</v>
      </c>
      <c r="I26" s="387"/>
      <c r="J26" s="387"/>
      <c r="K26" s="387"/>
      <c r="L26" s="387"/>
      <c r="M26" s="387"/>
      <c r="N26" s="387"/>
    </row>
    <row r="27">
      <c r="A27" s="380">
        <v>43203.0</v>
      </c>
      <c r="B27" s="378" t="str">
        <f>HYPERLINK("https://nycdoe-my.sharepoint.com/personal/nschepi_schools_nyc_gov/_layouts/15/guestaccess.aspx?folderid=0d41c834e3d62419195aeba5b4bda8709&amp;authkey=AeZr6ag6xwE_hnzKD4EiFhk","Maximize your Existing Bandwidth")</f>
        <v>Maximize your Existing Bandwidth</v>
      </c>
      <c r="C27" s="375" t="str">
        <f>HYPERLINK("https://www.surveygizmo.com/s3/2325967/SPOC-PD-Registration","Register here")</f>
        <v>Register here</v>
      </c>
      <c r="D27" s="376" t="s">
        <v>573</v>
      </c>
      <c r="E27" s="376" t="s">
        <v>539</v>
      </c>
      <c r="F27" s="397" t="s">
        <v>116</v>
      </c>
      <c r="G27" s="377" t="s">
        <v>525</v>
      </c>
      <c r="H27" s="376" t="s">
        <v>594</v>
      </c>
      <c r="I27" s="387"/>
      <c r="J27" s="387"/>
      <c r="K27" s="387"/>
      <c r="L27" s="387"/>
      <c r="M27" s="387"/>
      <c r="N27" s="387"/>
    </row>
    <row r="28">
      <c r="A28" s="380">
        <v>43203.0</v>
      </c>
      <c r="B28" s="374" t="s">
        <v>601</v>
      </c>
      <c r="C28" s="375" t="str">
        <f>HYPERLINK("https://docs.google.com/a/projectrecess.org/forms/d/e/1FAIpQLScNznWRa-vlgHNfvpVoj5U1lnDdf31p1h80URRTB3zIyta5PA/viewform","Register here")</f>
        <v>Register here</v>
      </c>
      <c r="D28" s="376" t="s">
        <v>603</v>
      </c>
      <c r="E28" s="376" t="s">
        <v>539</v>
      </c>
      <c r="F28" s="397" t="s">
        <v>606</v>
      </c>
      <c r="G28" s="377" t="s">
        <v>525</v>
      </c>
      <c r="H28" s="376" t="s">
        <v>608</v>
      </c>
      <c r="I28" s="387"/>
      <c r="J28" s="387"/>
      <c r="K28" s="387"/>
      <c r="L28" s="387"/>
      <c r="M28" s="387"/>
      <c r="N28" s="387"/>
    </row>
    <row r="29">
      <c r="A29" s="380">
        <v>43201.0</v>
      </c>
      <c r="B29" s="378" t="str">
        <f>HYPERLINK("https://nycdoe-my.sharepoint.com/personal/nschepi_schools_nyc_gov/_layouts/15/guestaccess.aspx?folderid=0d41c834e3d62419195aeba5b4bda8709&amp;authkey=AeZr6ag6xwE_hnzKD4EiFhk","Apple &amp; Windows Imaging")</f>
        <v>Apple &amp; Windows Imaging</v>
      </c>
      <c r="C29" s="375" t="str">
        <f>HYPERLINK("https://www.surveygizmo.com/s3/2325967/SPOC-PD-Registration","Register here")</f>
        <v>Register here</v>
      </c>
      <c r="D29" s="376" t="s">
        <v>592</v>
      </c>
      <c r="E29" s="376" t="s">
        <v>539</v>
      </c>
      <c r="F29" s="397" t="s">
        <v>116</v>
      </c>
      <c r="G29" s="377" t="s">
        <v>525</v>
      </c>
      <c r="H29" s="376" t="s">
        <v>574</v>
      </c>
      <c r="I29" s="387"/>
      <c r="J29" s="387"/>
      <c r="K29" s="387"/>
      <c r="L29" s="387"/>
      <c r="M29" s="387"/>
      <c r="N29" s="387"/>
    </row>
    <row r="30">
      <c r="A30" s="380">
        <v>43196.0</v>
      </c>
      <c r="B30" s="378" t="str">
        <f t="shared" ref="B30:B31" si="2">HYPERLINK("https://nycdoe-my.sharepoint.com/:b:/g/personal/ggarcia22_schools_nyc_gov/EZmGZBKj4fFIomK8kedkkGsBOo4Mw8S_IS4S7wXGUcJ76Q?e=2J2amb","Microsoft - Windows 10 Training")</f>
        <v>Microsoft - Windows 10 Training</v>
      </c>
      <c r="C30" s="375" t="str">
        <f>HYPERLINK("https://www.microsoftevents.com/profile/3727288","Register here")</f>
        <v>Register here</v>
      </c>
      <c r="D30" s="376" t="s">
        <v>566</v>
      </c>
      <c r="E30" s="376" t="s">
        <v>567</v>
      </c>
      <c r="F30" s="397" t="s">
        <v>52</v>
      </c>
      <c r="G30" s="377"/>
      <c r="H30" s="376" t="s">
        <v>568</v>
      </c>
      <c r="I30" s="387"/>
      <c r="J30" s="387"/>
      <c r="K30" s="387"/>
      <c r="L30" s="387"/>
      <c r="M30" s="387"/>
      <c r="N30" s="387"/>
    </row>
    <row r="31">
      <c r="A31" s="380">
        <v>43196.0</v>
      </c>
      <c r="B31" s="378" t="str">
        <f t="shared" si="2"/>
        <v>Microsoft - Windows 10 Training</v>
      </c>
      <c r="C31" s="375" t="str">
        <f>HYPERLINK("https://www.microsoftevents.com/profile/3727364","Register here")</f>
        <v>Register here</v>
      </c>
      <c r="D31" s="376" t="s">
        <v>566</v>
      </c>
      <c r="E31" s="376" t="s">
        <v>415</v>
      </c>
      <c r="F31" s="397" t="s">
        <v>52</v>
      </c>
      <c r="G31" s="377"/>
      <c r="H31" s="376" t="s">
        <v>568</v>
      </c>
      <c r="I31" s="387"/>
      <c r="J31" s="387"/>
      <c r="K31" s="387"/>
      <c r="L31" s="387"/>
      <c r="M31" s="387"/>
      <c r="N31" s="387"/>
    </row>
    <row r="32">
      <c r="A32" s="436">
        <v>43189.0</v>
      </c>
      <c r="B32" s="218" t="s">
        <v>611</v>
      </c>
      <c r="C32" s="440" t="str">
        <f>HYPERLINK("https://www.makerbot.com/learning","Register here")</f>
        <v>Register here</v>
      </c>
      <c r="D32" s="218" t="s">
        <v>616</v>
      </c>
      <c r="E32" s="218" t="s">
        <v>617</v>
      </c>
      <c r="F32" s="218" t="s">
        <v>618</v>
      </c>
      <c r="G32" s="441"/>
      <c r="H32" s="218" t="s">
        <v>619</v>
      </c>
      <c r="I32" s="392"/>
      <c r="J32" s="392"/>
      <c r="K32" s="392"/>
      <c r="L32" s="392"/>
      <c r="M32" s="392"/>
      <c r="N32" s="392"/>
    </row>
    <row r="33">
      <c r="A33" s="380">
        <v>43188.0</v>
      </c>
      <c r="B33" s="374" t="s">
        <v>621</v>
      </c>
      <c r="C33" s="442" t="str">
        <f>HYPERLINK("https://www.eventbrite.com/e/ilearnnyc-2-day-blended-learning-institute-february-27-and-march-29th-tickets-42052972573","Register here")</f>
        <v>Register here</v>
      </c>
      <c r="D33" s="376" t="s">
        <v>522</v>
      </c>
      <c r="E33" s="376" t="s">
        <v>523</v>
      </c>
      <c r="F33" s="376" t="s">
        <v>524</v>
      </c>
      <c r="G33" s="377" t="s">
        <v>525</v>
      </c>
      <c r="H33" s="378" t="str">
        <f>HYPERLINK("https://docs.google.com/forms/d/e/1FAIpQLSf1X0u5K60sK8_jZO7Vpf-t6nJ3TZtjtR-c7kT2mf2zH9ABLA/viewform","This is a F2F institute that guides educators to teach in blended classroom environments. Participants will learn effective strategies for managing and teaching students in blended environments and explore the ways blended learning can effectively support"&amp;" standards-based teaching and learning in all subject areas. In addition, participants learn to meet the needs of all students by selecting and using a variety of teaching tools that aid in personalizing learning. Attendees will plan, create and develop a"&amp;" blended lesson using digital resources that they will implement in the classroom. Bring your laptop each session and headset with microphone for Day 2.  A limited number of licenses will be provided to attendees.  Attendees must complete this survey. ")</f>
        <v>This is a F2F institute that guides educators to teach in blended classroom environments. Participants will learn effective strategies for managing and teaching students in blended environments and explore the ways blended learning can effectively support standards-based teaching and learning in all subject areas. In addition, participants learn to meet the needs of all students by selecting and using a variety of teaching tools that aid in personalizing learning. Attendees will plan, create and develop a blended lesson using digital resources that they will implement in the classroom. Bring your laptop each session and headset with microphone for Day 2.  A limited number of licenses will be provided to attendees.  Attendees must complete this survey. </v>
      </c>
      <c r="I33" s="379"/>
      <c r="J33" s="379"/>
      <c r="K33" s="379"/>
      <c r="L33" s="379"/>
      <c r="M33" s="379"/>
      <c r="N33" s="379"/>
    </row>
    <row r="34">
      <c r="A34" s="380">
        <v>43188.0</v>
      </c>
      <c r="B34" s="378" t="str">
        <f>HYPERLINK("https://myevents.apple.com/content/events/us_education/us/en/k12macnycdoe-land.html?token=drj2zDP41Q9Q4RQOj_Xi7j88qG0o3QbDrFWwDfwsOzzxvlAvLZVvJA5u4XuBxI6kN3Jmz9UcDDFBRUmEjxwtx_5pVVe5cOuvPRlMqicqIVI","Deploying Mac in NYCDOE")</f>
        <v>Deploying Mac in NYCDOE</v>
      </c>
      <c r="C34" s="442" t="str">
        <f>HYPERLINK("https://myevents.apple.com/content/events/us_education/us/en/k12macnycdoe-land.html?token=drj2zDP41Q9Q4RQOj_Xi7j88qG0o3QbDrFWwDfwsOzzxvlAvLZVvJA5u4XuBxI6kN3Jmz9UcDDFBRUmEjxwtx_5pVVe5cOuvPRlMqicqIVI","Register here")</f>
        <v>Register here</v>
      </c>
      <c r="D34" s="376" t="s">
        <v>535</v>
      </c>
      <c r="E34" s="376" t="s">
        <v>409</v>
      </c>
      <c r="F34" s="397" t="s">
        <v>536</v>
      </c>
      <c r="G34" s="377"/>
      <c r="H34" s="376" t="s">
        <v>537</v>
      </c>
      <c r="I34" s="387"/>
      <c r="J34" s="387"/>
      <c r="K34" s="387"/>
      <c r="L34" s="387"/>
      <c r="M34" s="387"/>
      <c r="N34" s="387"/>
    </row>
    <row r="35">
      <c r="A35" s="380">
        <v>43188.0</v>
      </c>
      <c r="B35" s="378" t="str">
        <f>HYPERLINK("https://myevents.apple.com/content/events/us_education/us/en/k12ipadnycdoe-land.html?token=0eS6qqntOZZT6la8OxK0U5HBrBL5FPRov3SeG2WLE_6R9kofWFTfea-auFewEIaJmJZRFZqDOxI5-wY8NQVAmLTwp0mrsckcSOcZmcVFTf0","Deploying iOS in NYCDOE")</f>
        <v>Deploying iOS in NYCDOE</v>
      </c>
      <c r="C35" s="442" t="str">
        <f>HYPERLINK("https://myevents.apple.com/content/events/us_education/us/en/k12ipadnycdoe-land/k12ipadnycdoe-rgst.html?token=0eS6qqntOZZT6la8OxK0U_saGSMq2v95tnBeoVdINgGFBtUTIxbdumhGNrjq8AfjhS4Ze5q4sPZ8n1Lclf6Xm2ySX20IGe9XoOkFrjiZtXY","Register here")</f>
        <v>Register here</v>
      </c>
      <c r="D35" s="376" t="s">
        <v>535</v>
      </c>
      <c r="E35" s="376" t="s">
        <v>444</v>
      </c>
      <c r="F35" s="397" t="s">
        <v>536</v>
      </c>
      <c r="G35" s="377"/>
      <c r="H35" s="376" t="s">
        <v>538</v>
      </c>
      <c r="I35" s="387"/>
      <c r="J35" s="387"/>
      <c r="K35" s="387"/>
      <c r="L35" s="387"/>
      <c r="M35" s="387"/>
      <c r="N35" s="387"/>
    </row>
    <row r="36">
      <c r="A36" s="380">
        <v>43185.0</v>
      </c>
      <c r="B36" s="374" t="s">
        <v>633</v>
      </c>
      <c r="C36" s="375" t="s">
        <v>634</v>
      </c>
      <c r="D36" s="376" t="s">
        <v>635</v>
      </c>
      <c r="E36" s="376" t="s">
        <v>567</v>
      </c>
      <c r="F36" s="378" t="str">
        <f>HYPERLINK("https://myevents.apple.com/content/events/us_education/us/en/k20-everyone-can-code-2018---land.html?token=pVHRxJrKyShJKid7pJ7aQzzGEOzV75nK8RzoRfwPtFOuNrPXpO9c_rN539HTnWmOMnjcDtHiFK8bNPoqEI259AAcbmc3i5T8YgO1ek5e8_I&amp;a=1&amp;l=e","Apple")</f>
        <v>Apple</v>
      </c>
      <c r="G36" s="377"/>
      <c r="H36" s="374" t="s">
        <v>637</v>
      </c>
      <c r="I36" s="379"/>
      <c r="J36" s="379"/>
      <c r="K36" s="379"/>
      <c r="L36" s="379"/>
      <c r="M36" s="379"/>
      <c r="N36" s="379"/>
    </row>
    <row r="37">
      <c r="A37" s="380">
        <v>43182.0</v>
      </c>
      <c r="B37" s="381" t="s">
        <v>638</v>
      </c>
      <c r="C37" s="382" t="str">
        <f>HYPERLINK("https://myevents.apple.com/content/events/us_education/us/en/access-abilities---land.html?token=pVHRxJrKyShJKid7pJ7aQw_l8EgPyVXrMKMLLfKoFBP7zcG5jquLOFAI_VdrG3irJ--wNJ3OIhDZsMNpNk7SchcgHu8_GS-CUmWSjQApUFg&amp;a=1&amp;l=e","Register here")</f>
        <v>Register here</v>
      </c>
      <c r="D37" s="383" t="s">
        <v>635</v>
      </c>
      <c r="E37" s="383" t="s">
        <v>567</v>
      </c>
      <c r="F37" s="389" t="str">
        <f>HYPERLINK("https://myevents.apple.com/content/events/us_education/us/en/access-abilities---land.html?token=pVHRxJrKyShJKid7pJ7aQw_l8EgPyVXrMKMLLfKoFBP7zcG5jquLOFAI_VdrG3irJ--wNJ3OIhDZsMNpNk7SchcgHu8_GS-CUmWSjQApUFg&amp;a=1&amp;l=e","Apple")</f>
        <v>Apple</v>
      </c>
      <c r="G37" s="377"/>
      <c r="H37" s="381" t="s">
        <v>640</v>
      </c>
      <c r="I37" s="379"/>
      <c r="J37" s="379"/>
      <c r="K37" s="379"/>
      <c r="L37" s="379"/>
      <c r="M37" s="379"/>
      <c r="N37" s="379"/>
    </row>
    <row r="38">
      <c r="A38" s="380">
        <v>43180.0</v>
      </c>
      <c r="B38" s="381" t="s">
        <v>641</v>
      </c>
      <c r="C38" s="382" t="str">
        <f>HYPERLINK("https://www.eventbrite.com/e/ilearnnyc-using-the-arts-including-technology-to-enhance-academic-success-for-ells-tickets-40939177181","Register here")</f>
        <v>Register here</v>
      </c>
      <c r="D38" s="383" t="s">
        <v>522</v>
      </c>
      <c r="E38" s="383" t="s">
        <v>642</v>
      </c>
      <c r="F38" s="383" t="s">
        <v>524</v>
      </c>
      <c r="G38" s="377" t="s">
        <v>525</v>
      </c>
      <c r="H38" s="383" t="s">
        <v>643</v>
      </c>
      <c r="I38" s="387"/>
      <c r="J38" s="387"/>
      <c r="K38" s="387"/>
      <c r="L38" s="387"/>
      <c r="M38" s="387"/>
      <c r="N38" s="387"/>
    </row>
    <row r="39">
      <c r="A39" s="380">
        <v>43180.0</v>
      </c>
      <c r="B39" s="378" t="str">
        <f>HYPERLINK("https://nycdoe-my.sharepoint.com/personal/nschepi_schools_nyc_gov/_layouts/15/guestaccess.aspx?folderid=0d41c834e3d62419195aeba5b4bda8709&amp;authkey=AeZr6ag6xwE_hnzKD4EiFhk","I'm a SPOC, Now What?")</f>
        <v>I'm a SPOC, Now What?</v>
      </c>
      <c r="C39" s="375" t="s">
        <v>634</v>
      </c>
      <c r="D39" s="376" t="s">
        <v>596</v>
      </c>
      <c r="E39" s="376" t="s">
        <v>539</v>
      </c>
      <c r="F39" s="397" t="s">
        <v>116</v>
      </c>
      <c r="G39" s="377" t="s">
        <v>525</v>
      </c>
      <c r="H39" s="376" t="s">
        <v>645</v>
      </c>
      <c r="I39" s="387"/>
      <c r="J39" s="387"/>
      <c r="K39" s="387"/>
      <c r="L39" s="387"/>
      <c r="M39" s="387"/>
      <c r="N39" s="387"/>
    </row>
    <row r="40">
      <c r="A40" s="380">
        <v>43175.0</v>
      </c>
      <c r="B40" s="374" t="s">
        <v>646</v>
      </c>
      <c r="C40" s="375" t="str">
        <f>HYPERLINK("https://www.eventbrite.com/e/ilearnnyc-blending-your-classroom-using-d2l-ilearnnycs-learning-environment-tickets-42052839174","Register here")</f>
        <v>Register here</v>
      </c>
      <c r="D40" s="376" t="s">
        <v>522</v>
      </c>
      <c r="E40" s="376" t="s">
        <v>539</v>
      </c>
      <c r="F40" s="376" t="s">
        <v>524</v>
      </c>
      <c r="G40" s="377" t="s">
        <v>525</v>
      </c>
      <c r="H40" s="376" t="s">
        <v>650</v>
      </c>
      <c r="I40" s="387"/>
      <c r="J40" s="387"/>
      <c r="K40" s="387"/>
      <c r="L40" s="387"/>
      <c r="M40" s="387"/>
      <c r="N40" s="387"/>
    </row>
    <row r="41">
      <c r="A41" s="380">
        <v>43174.0</v>
      </c>
      <c r="B41" s="374" t="s">
        <v>651</v>
      </c>
      <c r="C41" s="375" t="str">
        <f>HYPERLINK("https://www.eventbrite.com/e/ilearnnyc-know-your-students-better-formative-assessment-tech-tools-tickets-38055582271","Register here")</f>
        <v>Register here</v>
      </c>
      <c r="D41" s="376" t="s">
        <v>522</v>
      </c>
      <c r="E41" s="376" t="s">
        <v>652</v>
      </c>
      <c r="F41" s="376" t="s">
        <v>524</v>
      </c>
      <c r="G41" s="377" t="s">
        <v>525</v>
      </c>
      <c r="H41" s="376" t="s">
        <v>654</v>
      </c>
      <c r="I41" s="387"/>
      <c r="J41" s="387"/>
      <c r="K41" s="387"/>
      <c r="L41" s="387"/>
      <c r="M41" s="387"/>
      <c r="N41" s="387"/>
    </row>
    <row r="42">
      <c r="A42" s="380">
        <v>43174.0</v>
      </c>
      <c r="B42" s="374" t="s">
        <v>655</v>
      </c>
      <c r="C42" s="375" t="str">
        <f>HYPERLINK("https://www.eventbrite.com/e/ilearnnyc-tech-tools-to-create-engage-and-deliver-instruction-tickets-42053252410","Register here")</f>
        <v>Register here</v>
      </c>
      <c r="D42" s="376" t="s">
        <v>522</v>
      </c>
      <c r="E42" s="376" t="s">
        <v>656</v>
      </c>
      <c r="F42" s="376" t="s">
        <v>524</v>
      </c>
      <c r="G42" s="377" t="s">
        <v>525</v>
      </c>
      <c r="H42" s="376" t="s">
        <v>657</v>
      </c>
      <c r="I42" s="387"/>
      <c r="J42" s="387"/>
      <c r="K42" s="387"/>
      <c r="L42" s="387"/>
      <c r="M42" s="387"/>
      <c r="N42" s="387"/>
    </row>
    <row r="43">
      <c r="A43" s="380">
        <v>43173.0</v>
      </c>
      <c r="B43" s="374" t="s">
        <v>658</v>
      </c>
      <c r="C43" s="375" t="str">
        <f>HYPERLINK("https://www.eventbrite.com/e/ilearnnyc-accountable-talk-20-tickets-42086241080","Register here")</f>
        <v>Register here</v>
      </c>
      <c r="D43" s="376" t="s">
        <v>522</v>
      </c>
      <c r="E43" s="376" t="s">
        <v>539</v>
      </c>
      <c r="F43" s="376" t="s">
        <v>524</v>
      </c>
      <c r="G43" s="377" t="s">
        <v>525</v>
      </c>
      <c r="H43" s="376" t="s">
        <v>659</v>
      </c>
      <c r="I43" s="387"/>
      <c r="J43" s="387"/>
      <c r="K43" s="387"/>
      <c r="L43" s="387"/>
      <c r="M43" s="387"/>
      <c r="N43" s="387"/>
    </row>
    <row r="44">
      <c r="A44" s="380">
        <v>43173.0</v>
      </c>
      <c r="B44" s="378" t="str">
        <f>HYPERLINK("https://nycdoe-my.sharepoint.com/personal/nschepi_schools_nyc_gov/_layouts/15/guestaccess.aspx?folderid=0d41c834e3d62419195aeba5b4bda8709&amp;authkey=AeZr6ag6xwE_hnzKD4EiFhk","I'm a SPOC, Now What?")</f>
        <v>I'm a SPOC, Now What?</v>
      </c>
      <c r="C44" s="375" t="str">
        <f>HYPERLINK("https://www.surveygizmo.com/s3/2325967/SPOC-PD-Registration","Register here")</f>
        <v>Register here</v>
      </c>
      <c r="D44" s="376" t="s">
        <v>573</v>
      </c>
      <c r="E44" s="376" t="s">
        <v>539</v>
      </c>
      <c r="F44" s="397" t="s">
        <v>116</v>
      </c>
      <c r="G44" s="377" t="s">
        <v>525</v>
      </c>
      <c r="H44" s="376" t="s">
        <v>645</v>
      </c>
      <c r="I44" s="387"/>
      <c r="J44" s="387"/>
      <c r="K44" s="387"/>
      <c r="L44" s="387"/>
      <c r="M44" s="387"/>
      <c r="N44" s="387"/>
    </row>
    <row r="45">
      <c r="A45" s="380">
        <v>43172.0</v>
      </c>
      <c r="B45" s="374" t="s">
        <v>575</v>
      </c>
      <c r="C45" s="375" t="str">
        <f>HYPERLINK("https://www.eventbrite.com/e/ilearnnyc-turn-it-up-part-2-flipped-classroom-using-google-hangout-and-edpuzzle-tickets-38051583310","Register here")</f>
        <v>Register here</v>
      </c>
      <c r="D45" s="376" t="s">
        <v>522</v>
      </c>
      <c r="E45" s="376" t="s">
        <v>539</v>
      </c>
      <c r="F45" s="376" t="s">
        <v>524</v>
      </c>
      <c r="G45" s="377" t="s">
        <v>525</v>
      </c>
      <c r="H45" s="376" t="s">
        <v>576</v>
      </c>
      <c r="I45" s="387"/>
      <c r="J45" s="387"/>
      <c r="K45" s="387"/>
      <c r="L45" s="387"/>
      <c r="M45" s="387"/>
      <c r="N45" s="387"/>
    </row>
    <row r="46">
      <c r="A46" s="380">
        <v>43172.0</v>
      </c>
      <c r="B46" s="374" t="s">
        <v>662</v>
      </c>
      <c r="C46" s="375" t="str">
        <f>HYPERLINK("https://www.eventbrite.com/e/innovative-teaching-co-op-march-2018-teachers-college-columbia-uni-tickets-42885525762","Register here")</f>
        <v>Register here</v>
      </c>
      <c r="D46" s="376" t="s">
        <v>663</v>
      </c>
      <c r="E46" s="376" t="s">
        <v>664</v>
      </c>
      <c r="F46" s="447" t="str">
        <f>HYPERLINK("http://educatellc.com/","Educate LLC")</f>
        <v>Educate LLC</v>
      </c>
      <c r="G46" s="377" t="s">
        <v>525</v>
      </c>
      <c r="H46" s="376" t="s">
        <v>665</v>
      </c>
      <c r="I46" s="387"/>
      <c r="J46" s="387"/>
      <c r="K46" s="387"/>
      <c r="L46" s="387"/>
      <c r="M46" s="387"/>
      <c r="N46" s="387"/>
    </row>
    <row r="47">
      <c r="A47" s="380">
        <v>43171.0</v>
      </c>
      <c r="B47" s="374" t="s">
        <v>666</v>
      </c>
      <c r="C47" s="375" t="str">
        <f>HYPERLINK("https://www.eventbrite.com/e/ilearnnyc-screencasting-simplified-tickets-38056818970","Register here")</f>
        <v>Register here</v>
      </c>
      <c r="D47" s="376" t="s">
        <v>522</v>
      </c>
      <c r="E47" s="376" t="s">
        <v>539</v>
      </c>
      <c r="F47" s="376" t="s">
        <v>524</v>
      </c>
      <c r="G47" s="377" t="s">
        <v>525</v>
      </c>
      <c r="H47" s="376" t="s">
        <v>667</v>
      </c>
      <c r="I47" s="387"/>
      <c r="J47" s="387"/>
      <c r="K47" s="387"/>
      <c r="L47" s="387"/>
      <c r="M47" s="387"/>
      <c r="N47" s="387"/>
    </row>
    <row r="48">
      <c r="A48" s="380">
        <v>43168.0</v>
      </c>
      <c r="B48" s="376" t="s">
        <v>597</v>
      </c>
      <c r="C48" s="375" t="str">
        <f>HYPERLINK("https://www.eventbrite.com/e/ilearnnyc-ins-and-outs-of-google-classroom-tickets-42054210275","Register here")</f>
        <v>Register here</v>
      </c>
      <c r="D48" s="376" t="s">
        <v>522</v>
      </c>
      <c r="E48" s="376" t="s">
        <v>539</v>
      </c>
      <c r="F48" s="376" t="s">
        <v>524</v>
      </c>
      <c r="G48" s="377" t="s">
        <v>525</v>
      </c>
      <c r="H48" s="376" t="s">
        <v>599</v>
      </c>
      <c r="I48" s="387"/>
      <c r="J48" s="387"/>
      <c r="K48" s="387"/>
      <c r="L48" s="387"/>
      <c r="M48" s="387"/>
      <c r="N48" s="387"/>
    </row>
    <row r="49">
      <c r="A49" s="380">
        <v>43167.0</v>
      </c>
      <c r="B49" s="374" t="s">
        <v>669</v>
      </c>
      <c r="C49" s="402" t="str">
        <f>HYPERLINK("https://www.eventbrite.com/e/ilearnnyc-deeper-dive-with-google-drive-tickets-38053721706","Register here")</f>
        <v>Register here</v>
      </c>
      <c r="D49" s="376" t="s">
        <v>522</v>
      </c>
      <c r="E49" s="376" t="s">
        <v>652</v>
      </c>
      <c r="F49" s="376" t="s">
        <v>524</v>
      </c>
      <c r="G49" s="377" t="s">
        <v>525</v>
      </c>
      <c r="H49" s="376" t="s">
        <v>672</v>
      </c>
      <c r="I49" s="387"/>
      <c r="J49" s="387"/>
      <c r="K49" s="387"/>
      <c r="L49" s="387"/>
      <c r="M49" s="387"/>
      <c r="N49" s="387"/>
    </row>
    <row r="50">
      <c r="A50" s="380">
        <v>43167.0</v>
      </c>
      <c r="B50" s="381" t="s">
        <v>585</v>
      </c>
      <c r="C50" s="448" t="str">
        <f>HYPERLINK("https://www.eventbrite.com/e/ilearnnyc-tell-your-tale-digital-storytelling-for-the-classroom-tickets-38052983498","Register here")</f>
        <v>Register here</v>
      </c>
      <c r="D50" s="383" t="s">
        <v>674</v>
      </c>
      <c r="E50" s="383" t="s">
        <v>675</v>
      </c>
      <c r="F50" s="383" t="s">
        <v>524</v>
      </c>
      <c r="G50" s="377" t="s">
        <v>525</v>
      </c>
      <c r="H50" s="383" t="s">
        <v>586</v>
      </c>
      <c r="I50" s="387"/>
      <c r="J50" s="387"/>
      <c r="K50" s="387"/>
      <c r="L50" s="387"/>
      <c r="M50" s="387"/>
      <c r="N50" s="387"/>
    </row>
    <row r="51">
      <c r="A51" s="380">
        <v>43166.0</v>
      </c>
      <c r="B51" s="381" t="s">
        <v>676</v>
      </c>
      <c r="C51" s="382" t="str">
        <f>HYPERLINK("https://www.eventbrite.com/e/ilearnnyc-supporting-your-pln-through-social-media-tickets-42086095645","Register here")</f>
        <v>Register here</v>
      </c>
      <c r="D51" s="383" t="s">
        <v>522</v>
      </c>
      <c r="E51" s="383" t="s">
        <v>675</v>
      </c>
      <c r="F51" s="383" t="s">
        <v>524</v>
      </c>
      <c r="G51" s="377" t="s">
        <v>525</v>
      </c>
      <c r="H51" s="383" t="s">
        <v>678</v>
      </c>
      <c r="I51" s="387"/>
      <c r="J51" s="387"/>
      <c r="K51" s="387"/>
      <c r="L51" s="387"/>
      <c r="M51" s="387"/>
      <c r="N51" s="387"/>
    </row>
    <row r="52">
      <c r="A52" s="380">
        <v>43166.0</v>
      </c>
      <c r="B52" s="381" t="s">
        <v>682</v>
      </c>
      <c r="C52" s="448" t="str">
        <f>HYPERLINK("https://myevents.apple.com/content/events/us_education/us/en/k_12-ads--ms-442----land.html?token=c4X_EGw40vV-poJqTKlostFT0yHQStHch9kvmF6FqrgmEI5DZn6zI7uKm6kagfY8CO340MavS8XCtvUl2hUdau2bMevxSurI3YGX2dEOnCA&amp;a=1&amp;l=e","Register here")</f>
        <v>Register here</v>
      </c>
      <c r="D52" s="383" t="s">
        <v>683</v>
      </c>
      <c r="E52" s="383" t="s">
        <v>684</v>
      </c>
      <c r="F52" s="389" t="str">
        <f>HYPERLINK("https://myevents.apple.com/content/events/us_education/us/en/k_12-ads--ms-442----land.html?token=c4X_EGw40vV-poJqTKlostFT0yHQStHch9kvmF6FqrgmEI5DZn6zI7uKm6kagfY8CO340MavS8XCtvUl2hUdau2bMevxSurI3YGX2dEOnCA&amp;a=1&amp;l=e","Apple")</f>
        <v>Apple</v>
      </c>
      <c r="G52" s="377"/>
      <c r="H52" s="376" t="s">
        <v>686</v>
      </c>
      <c r="I52" s="387"/>
      <c r="J52" s="387"/>
      <c r="K52" s="387"/>
      <c r="L52" s="387"/>
      <c r="M52" s="387"/>
      <c r="N52" s="387"/>
    </row>
    <row r="53">
      <c r="A53" s="380">
        <v>43165.0</v>
      </c>
      <c r="B53" s="381" t="s">
        <v>687</v>
      </c>
      <c r="C53" s="382" t="str">
        <f>HYPERLINK("https://www.eventbrite.com/e/ilearnnyc-developing-executive-function-skills-through-technology-tickets-42086166858","Register here")</f>
        <v>Register here</v>
      </c>
      <c r="D53" s="383" t="s">
        <v>522</v>
      </c>
      <c r="E53" s="383" t="s">
        <v>675</v>
      </c>
      <c r="F53" s="383" t="s">
        <v>524</v>
      </c>
      <c r="G53" s="377" t="s">
        <v>525</v>
      </c>
      <c r="H53" s="376" t="s">
        <v>688</v>
      </c>
      <c r="I53" s="387"/>
      <c r="J53" s="387"/>
      <c r="K53" s="387"/>
      <c r="L53" s="387"/>
      <c r="M53" s="387"/>
      <c r="N53" s="387"/>
    </row>
    <row r="54">
      <c r="A54" s="380">
        <v>43164.0</v>
      </c>
      <c r="B54" s="374" t="s">
        <v>689</v>
      </c>
      <c r="C54" s="375" t="str">
        <f>HYPERLINK("https://www.eventbrite.com/e/ilearnnyc-exploring-effective-digital-leadership-part-1-tickets-40939085908","Register here")</f>
        <v>Register here</v>
      </c>
      <c r="D54" s="376" t="s">
        <v>522</v>
      </c>
      <c r="E54" s="376" t="s">
        <v>642</v>
      </c>
      <c r="F54" s="376" t="s">
        <v>524</v>
      </c>
      <c r="G54" s="377" t="s">
        <v>525</v>
      </c>
      <c r="H54" s="376" t="s">
        <v>690</v>
      </c>
      <c r="I54" s="387"/>
      <c r="J54" s="387"/>
      <c r="K54" s="387"/>
      <c r="L54" s="387"/>
      <c r="M54" s="387"/>
      <c r="N54" s="387"/>
    </row>
    <row r="55">
      <c r="A55" s="380">
        <v>43164.0</v>
      </c>
      <c r="B55" s="374" t="s">
        <v>689</v>
      </c>
      <c r="C55" s="375" t="str">
        <f>HYPERLINK("https://www.eventbrite.com/e/ilearnnyc-exploring-effective-digital-leadership-part-2-tickets-42088007363","Register here")</f>
        <v>Register here</v>
      </c>
      <c r="D55" s="376" t="s">
        <v>522</v>
      </c>
      <c r="E55" s="376" t="s">
        <v>691</v>
      </c>
      <c r="F55" s="376" t="s">
        <v>524</v>
      </c>
      <c r="G55" s="377" t="s">
        <v>525</v>
      </c>
      <c r="H55" s="376" t="s">
        <v>692</v>
      </c>
      <c r="I55" s="387"/>
      <c r="J55" s="387"/>
      <c r="K55" s="387"/>
      <c r="L55" s="387"/>
      <c r="M55" s="387"/>
      <c r="N55" s="387"/>
    </row>
    <row r="56">
      <c r="A56" s="380">
        <v>43161.0</v>
      </c>
      <c r="B56" s="374" t="s">
        <v>693</v>
      </c>
      <c r="C56" s="375" t="str">
        <f>HYPERLINK("https://www.eventbrite.com/e/ilearnnyc-privacy-and-the-school-what-school-leaders-teachers-and-students-need-to-know-tickets-40938789020","Register here")</f>
        <v>Register here</v>
      </c>
      <c r="D56" s="376" t="s">
        <v>522</v>
      </c>
      <c r="E56" s="376" t="s">
        <v>642</v>
      </c>
      <c r="F56" s="376" t="s">
        <v>524</v>
      </c>
      <c r="G56" s="377" t="s">
        <v>525</v>
      </c>
      <c r="H56" s="376" t="s">
        <v>695</v>
      </c>
      <c r="I56" s="387"/>
      <c r="J56" s="387"/>
      <c r="K56" s="387"/>
      <c r="L56" s="387"/>
      <c r="M56" s="387"/>
      <c r="N56" s="387"/>
    </row>
    <row r="57">
      <c r="A57" s="454">
        <v>43160.0</v>
      </c>
      <c r="B57" s="374" t="s">
        <v>696</v>
      </c>
      <c r="C57" s="375" t="str">
        <f>HYPERLINK("https://www.eventbrite.com/e/ilearnnyc-using-the-arts-including-technology-to-enhance-academic-success-for-ells-tickets-40939177181","Register here")</f>
        <v>Register here</v>
      </c>
      <c r="D57" s="376" t="s">
        <v>522</v>
      </c>
      <c r="E57" s="376" t="s">
        <v>642</v>
      </c>
      <c r="F57" s="376" t="s">
        <v>524</v>
      </c>
      <c r="G57" s="377" t="s">
        <v>525</v>
      </c>
      <c r="H57" s="376" t="s">
        <v>698</v>
      </c>
      <c r="I57" s="387"/>
      <c r="J57" s="387"/>
      <c r="K57" s="387"/>
      <c r="L57" s="387"/>
      <c r="M57" s="387"/>
      <c r="N57" s="387"/>
    </row>
    <row r="58">
      <c r="A58" s="380">
        <v>43159.0</v>
      </c>
      <c r="B58" s="374" t="s">
        <v>699</v>
      </c>
      <c r="C58" s="375" t="str">
        <f>HYPERLINK("https://www.eventbrite.com/e/ilearnnyc-using-technology-to-enhance-instruction-for-ells-tickets-40938895338","Register here")</f>
        <v>Register here</v>
      </c>
      <c r="D58" s="376" t="s">
        <v>522</v>
      </c>
      <c r="E58" s="376" t="s">
        <v>523</v>
      </c>
      <c r="F58" s="376" t="s">
        <v>524</v>
      </c>
      <c r="G58" s="377" t="s">
        <v>525</v>
      </c>
      <c r="H58" s="376" t="s">
        <v>700</v>
      </c>
      <c r="I58" s="387"/>
      <c r="J58" s="387"/>
      <c r="K58" s="387"/>
      <c r="L58" s="387"/>
      <c r="M58" s="387"/>
      <c r="N58" s="387"/>
    </row>
    <row r="59">
      <c r="A59" s="380">
        <v>43159.0</v>
      </c>
      <c r="B59" s="378" t="str">
        <f>HYPERLINK("https://nycdoe-my.sharepoint.com/personal/nschepi_schools_nyc_gov/_layouts/15/guestaccess.aspx?folderid=0d41c834e3d62419195aeba5b4bda8709&amp;authkey=AeZr6ag6xwE_hnzKD4EiFhk","I'm a SPOC, Now What?")</f>
        <v>I'm a SPOC, Now What?</v>
      </c>
      <c r="C59" s="375" t="str">
        <f>HYPERLINK("https://www.surveygizmo.com/s3/2325967/SPOC-PD-Registration","Register here")</f>
        <v>Register here</v>
      </c>
      <c r="D59" s="376" t="s">
        <v>592</v>
      </c>
      <c r="E59" s="376" t="s">
        <v>539</v>
      </c>
      <c r="F59" s="397" t="s">
        <v>116</v>
      </c>
      <c r="G59" s="377" t="s">
        <v>525</v>
      </c>
      <c r="H59" s="376" t="s">
        <v>645</v>
      </c>
      <c r="I59" s="387"/>
      <c r="J59" s="387"/>
      <c r="K59" s="387"/>
      <c r="L59" s="387"/>
      <c r="M59" s="387"/>
      <c r="N59" s="387"/>
    </row>
    <row r="60">
      <c r="A60" s="436">
        <v>43159.0</v>
      </c>
      <c r="B60" s="218" t="s">
        <v>611</v>
      </c>
      <c r="C60" s="440" t="str">
        <f>HYPERLINK("https://www.makerbot.com/learning","Register here")</f>
        <v>Register here</v>
      </c>
      <c r="D60" s="218" t="s">
        <v>616</v>
      </c>
      <c r="E60" s="218" t="s">
        <v>617</v>
      </c>
      <c r="F60" s="218" t="s">
        <v>618</v>
      </c>
      <c r="G60" s="441"/>
      <c r="H60" s="218" t="s">
        <v>619</v>
      </c>
      <c r="I60" s="392"/>
      <c r="J60" s="392"/>
      <c r="K60" s="392"/>
      <c r="L60" s="392"/>
      <c r="M60" s="392"/>
      <c r="N60" s="392"/>
    </row>
    <row r="61">
      <c r="A61" s="380">
        <v>43158.0</v>
      </c>
      <c r="B61" s="374" t="s">
        <v>702</v>
      </c>
      <c r="C61" s="375" t="str">
        <f>HYPERLINK("https://myevents.apple.com/content/events/us_education/us/en/access-abilities---land/access-abilities---rgst.html?token=pVHRxJrKyShJKid7pJ7aQ3StQQm8jUzeXya6RdZ9xOASOeY60iphAYKkueGwXg_pQ5LuxmI0-NI3DkKeHyAKGn8xUbPVZ2ProXQzW7DMRyY&amp;a=1&amp;l=r","Register here")</f>
        <v>Register here</v>
      </c>
      <c r="D61" s="376" t="s">
        <v>535</v>
      </c>
      <c r="E61" s="376" t="s">
        <v>567</v>
      </c>
      <c r="F61" s="397" t="s">
        <v>536</v>
      </c>
      <c r="G61" s="377"/>
      <c r="H61" s="374" t="s">
        <v>703</v>
      </c>
      <c r="I61" s="379"/>
      <c r="J61" s="379"/>
      <c r="K61" s="379"/>
      <c r="L61" s="379"/>
      <c r="M61" s="379"/>
      <c r="N61" s="379"/>
    </row>
    <row r="62">
      <c r="A62" s="380">
        <v>43158.0</v>
      </c>
      <c r="B62" s="374" t="s">
        <v>704</v>
      </c>
      <c r="C62" s="375" t="str">
        <f>HYPERLINK("https://myevents.apple.com/content/events/us_education/us/en/k-12-ads--monte-vista-and-biltmore-prep----land1311.html?token=I4Fdx6NKk-hx5LU1sc5pPDeFc0CnjXnffRQ2lexsFkjh5kgfTXcJwPoa2K2afV_6A7aQaX00GRBXgljbCryibAbDV4c8iN1y66icUQ7jBz0&amp;a=1&amp;l=e","Register here")</f>
        <v>Register here</v>
      </c>
      <c r="D62" s="376" t="s">
        <v>707</v>
      </c>
      <c r="E62" s="376" t="s">
        <v>567</v>
      </c>
      <c r="F62" s="397" t="s">
        <v>536</v>
      </c>
      <c r="G62" s="377"/>
      <c r="H62" s="374" t="s">
        <v>709</v>
      </c>
      <c r="I62" s="379"/>
      <c r="J62" s="379"/>
      <c r="K62" s="379"/>
      <c r="L62" s="379"/>
      <c r="M62" s="379"/>
      <c r="N62" s="379"/>
    </row>
    <row r="63">
      <c r="A63" s="380">
        <v>43157.0</v>
      </c>
      <c r="B63" s="374" t="s">
        <v>710</v>
      </c>
      <c r="C63" s="375" t="str">
        <f>HYPERLINK("https://myevents.apple.com/content/events/us_education/us/en/k20-everyone-can-code-2018---land/k20-everyone-can-code-2018---rgst.html?token=pVHRxJrKyShJKid7pJ7aQ_lMiu_gYdOkx4zZLz89a3nCBg5HMYTjyaussU-_70NUPmaHbZ3e0JFQOmr_RQ687LvLucHNf1BotD-os5_q4sc&amp;a=1&amp;l=r","Register here")</f>
        <v>Register here</v>
      </c>
      <c r="D63" s="376" t="s">
        <v>535</v>
      </c>
      <c r="E63" s="376" t="s">
        <v>567</v>
      </c>
      <c r="F63" s="397" t="s">
        <v>536</v>
      </c>
      <c r="G63" s="377"/>
      <c r="H63" s="374" t="s">
        <v>713</v>
      </c>
      <c r="I63" s="379"/>
      <c r="J63" s="379"/>
      <c r="K63" s="379"/>
      <c r="L63" s="379"/>
      <c r="M63" s="379"/>
      <c r="N63" s="379"/>
    </row>
    <row r="64">
      <c r="A64" s="380">
        <v>43154.0</v>
      </c>
      <c r="B64" s="374" t="s">
        <v>714</v>
      </c>
      <c r="C64" s="375" t="str">
        <f>HYPERLINK("https://www.eventbrite.com/e/izonekhan-academy-college-access-edition-tickets-42233108364","Register here")</f>
        <v>Register here</v>
      </c>
      <c r="D64" s="376" t="s">
        <v>715</v>
      </c>
      <c r="E64" s="376" t="s">
        <v>716</v>
      </c>
      <c r="F64" s="376" t="s">
        <v>524</v>
      </c>
      <c r="G64" s="377" t="s">
        <v>525</v>
      </c>
      <c r="H64" s="374" t="s">
        <v>717</v>
      </c>
      <c r="I64" s="379"/>
      <c r="J64" s="379"/>
      <c r="K64" s="379"/>
      <c r="L64" s="379"/>
      <c r="M64" s="379"/>
      <c r="N64" s="379"/>
    </row>
    <row r="65">
      <c r="A65" s="380">
        <v>43153.0</v>
      </c>
      <c r="B65" s="374" t="s">
        <v>714</v>
      </c>
      <c r="C65" s="375" t="str">
        <f>HYPERLINK("https://www.eventbrite.com/e/izonekhan-academy-college-access-edition-tickets-42233065235","Register here")</f>
        <v>Register here</v>
      </c>
      <c r="D65" s="376" t="s">
        <v>715</v>
      </c>
      <c r="E65" s="376" t="s">
        <v>716</v>
      </c>
      <c r="F65" s="376" t="s">
        <v>524</v>
      </c>
      <c r="G65" s="377" t="s">
        <v>525</v>
      </c>
      <c r="H65" s="374" t="s">
        <v>717</v>
      </c>
      <c r="I65" s="379"/>
      <c r="J65" s="379"/>
      <c r="K65" s="379"/>
      <c r="L65" s="379"/>
      <c r="M65" s="379"/>
      <c r="N65" s="379"/>
    </row>
    <row r="66">
      <c r="A66" s="380">
        <v>43152.0</v>
      </c>
      <c r="B66" s="374" t="s">
        <v>719</v>
      </c>
      <c r="C66" s="375" t="str">
        <f>HYPERLINK("https://www.eventbrite.com/e/ilearnnyc-future-ready-learning-ii-who-owns-the-learning-three-pillars-of-web-literacy-with-alan-tickets-42086502863","Register here")</f>
        <v>Register here</v>
      </c>
      <c r="D66" s="376" t="s">
        <v>522</v>
      </c>
      <c r="E66" s="376" t="s">
        <v>523</v>
      </c>
      <c r="F66" s="376" t="s">
        <v>524</v>
      </c>
      <c r="G66" s="377" t="s">
        <v>525</v>
      </c>
      <c r="H66" s="374" t="s">
        <v>722</v>
      </c>
      <c r="I66" s="379"/>
      <c r="J66" s="379"/>
      <c r="K66" s="379"/>
      <c r="L66" s="379"/>
      <c r="M66" s="379"/>
      <c r="N66" s="379"/>
    </row>
    <row r="67">
      <c r="A67" s="380">
        <v>43151.0</v>
      </c>
      <c r="B67" s="374" t="s">
        <v>723</v>
      </c>
      <c r="C67" s="375" t="str">
        <f>HYPERLINK("https://www.eventbrite.com/e/ilearnnyc-future-ready-learning-i-leadership-managing-the-transition-creating-a-new-culture-with-tickets-42086346395","Register here")</f>
        <v>Register here</v>
      </c>
      <c r="D67" s="376" t="s">
        <v>522</v>
      </c>
      <c r="E67" s="376" t="s">
        <v>523</v>
      </c>
      <c r="F67" s="376" t="s">
        <v>524</v>
      </c>
      <c r="G67" s="377" t="s">
        <v>525</v>
      </c>
      <c r="H67" s="374" t="s">
        <v>725</v>
      </c>
      <c r="I67" s="379"/>
      <c r="J67" s="379"/>
      <c r="K67" s="379"/>
      <c r="L67" s="379"/>
      <c r="M67" s="379"/>
      <c r="N67" s="379"/>
    </row>
    <row r="68">
      <c r="A68" s="380">
        <v>43146.0</v>
      </c>
      <c r="B68" s="378" t="str">
        <f>HYPERLINK("https://myevents.apple.com/content/events/us_education/us/en/k12macnycdoe-land.html?token=drj2zDP41Q9Q4RQOj_Xi7iKVyEqsKQjBeuB8rfxl3TSoByQpUqdFEoaX_8NCzAqKCApE74czQ4VBWhJ3k74sDlXcCEO42g04OMOBMO8sp8E","Deploying Mac in NYCDOE")</f>
        <v>Deploying Mac in NYCDOE</v>
      </c>
      <c r="C68" s="375" t="str">
        <f>HYPERLINK("https://myevents.apple.com/content/events/us_education/us/en/k12macnycdoe-land/k12macnycdoe-rgst.html?token=drj2zDP41Q9Q4RQOj_Xi7gQhzWdc00sDaRIVKjkg7rA44CIXoNuYZVUoAnGmHBqV0knPUXzSgL4iqa9zs9Ru9C-eMu4RE6BX5JB8-0pP3ZE","Register here")</f>
        <v>Register here</v>
      </c>
      <c r="D68" s="376" t="s">
        <v>535</v>
      </c>
      <c r="E68" s="376" t="s">
        <v>409</v>
      </c>
      <c r="F68" s="397" t="s">
        <v>536</v>
      </c>
      <c r="G68" s="377"/>
      <c r="H68" s="376" t="s">
        <v>537</v>
      </c>
      <c r="I68" s="387"/>
      <c r="J68" s="387"/>
      <c r="K68" s="387"/>
      <c r="L68" s="387"/>
      <c r="M68" s="387"/>
      <c r="N68" s="387"/>
    </row>
    <row r="69">
      <c r="A69" s="380">
        <v>43146.0</v>
      </c>
      <c r="B69" s="378" t="str">
        <f>HYPERLINK("https://myevents.apple.com/content/events/us_education/us/en/k12ipadnycdoe-land.html?token=0eS6qqntOZZT6la8OxK0U9i5wRZWpwuw47WoK3_iWW-NoSWvTWDr6ihzmBoT0aTpzKhpHDCbsuGzN6kkmToPDG94Mx5s5wkVsXM0oS2Ja9k","Deploying iOS in NYCDOE")</f>
        <v>Deploying iOS in NYCDOE</v>
      </c>
      <c r="C69" s="375" t="str">
        <f>HYPERLINK("https://myevents.apple.com/content/events/us_education/us/en/k12ipadnycdoe-land/k12ipadnycdoe-rgst.html?token=0eS6qqntOZZT6la8OxK0U9RvvKJfrWEXNTaQrX_8i_EqbF8alF5cuvw6-qo8Xn2Zg7qkpveLB8R3722WoQYlPRGC_vMZPyVnsVBIP840_pE","Register here")</f>
        <v>Register here</v>
      </c>
      <c r="D69" s="376" t="s">
        <v>535</v>
      </c>
      <c r="E69" s="376" t="s">
        <v>444</v>
      </c>
      <c r="F69" s="397" t="s">
        <v>536</v>
      </c>
      <c r="G69" s="377"/>
      <c r="H69" s="376" t="s">
        <v>538</v>
      </c>
      <c r="I69" s="387"/>
      <c r="J69" s="387"/>
      <c r="K69" s="387"/>
      <c r="L69" s="387"/>
      <c r="M69" s="387"/>
      <c r="N69" s="387"/>
    </row>
    <row r="70">
      <c r="A70" s="380">
        <v>43144.0</v>
      </c>
      <c r="B70" s="374" t="s">
        <v>727</v>
      </c>
      <c r="C70" s="375" t="str">
        <f>HYPERLINK("https://www.eventbrite.com/e/ilearnnyc-leading-with-blended-learning-in-your-school-tickets-42052783006","Register here")</f>
        <v>Register here</v>
      </c>
      <c r="D70" s="376" t="s">
        <v>728</v>
      </c>
      <c r="E70" s="376" t="s">
        <v>567</v>
      </c>
      <c r="F70" s="397" t="s">
        <v>729</v>
      </c>
      <c r="G70" s="377" t="s">
        <v>525</v>
      </c>
      <c r="H70" s="376" t="s">
        <v>730</v>
      </c>
      <c r="I70" s="387"/>
      <c r="J70" s="387"/>
      <c r="K70" s="387"/>
      <c r="L70" s="387"/>
      <c r="M70" s="387"/>
      <c r="N70" s="387"/>
    </row>
    <row r="71">
      <c r="A71" s="380">
        <v>43143.0</v>
      </c>
      <c r="B71" s="374" t="s">
        <v>731</v>
      </c>
      <c r="C71" s="375" t="str">
        <f>HYPERLINK("https://www.eventbrite.com/e/ilearnnyc-developing-executive-function-skills-through-technology-tickets-42086166858","Register here")</f>
        <v>Register here</v>
      </c>
      <c r="D71" s="376" t="s">
        <v>728</v>
      </c>
      <c r="E71" s="376" t="s">
        <v>733</v>
      </c>
      <c r="F71" s="397" t="s">
        <v>729</v>
      </c>
      <c r="G71" s="377" t="s">
        <v>525</v>
      </c>
      <c r="H71" s="376" t="s">
        <v>734</v>
      </c>
      <c r="I71" s="387"/>
      <c r="J71" s="387"/>
      <c r="K71" s="387"/>
      <c r="L71" s="387"/>
      <c r="M71" s="387"/>
      <c r="N71" s="387"/>
    </row>
    <row r="72">
      <c r="A72" s="380">
        <v>43143.0</v>
      </c>
      <c r="B72" s="378" t="str">
        <f>HYPERLINK("https://docs.google.com/document/d/1zPDR9uKdoNanPhOwwZ8oNdUMxwT8tHrpVUQwxIzSru0/edit?usp=sharing","GSuite Admin 101")</f>
        <v>GSuite Admin 101</v>
      </c>
      <c r="C72" s="375" t="str">
        <f>HYPERLINK("https://docs.google.com/forms/d/e/1FAIpQLSfTUXgcf3YycBZM_S7CtHizCB5nPFC-VDW3tW3YALBv-6LeLg/viewform","Register here")</f>
        <v>Register here</v>
      </c>
      <c r="D72" s="376" t="s">
        <v>735</v>
      </c>
      <c r="E72" s="376" t="s">
        <v>539</v>
      </c>
      <c r="F72" s="376" t="s">
        <v>736</v>
      </c>
      <c r="G72" s="377" t="s">
        <v>525</v>
      </c>
      <c r="H72" s="376" t="s">
        <v>737</v>
      </c>
      <c r="I72" s="387"/>
      <c r="J72" s="387"/>
      <c r="K72" s="387"/>
      <c r="L72" s="387"/>
      <c r="M72" s="387"/>
      <c r="N72" s="387"/>
    </row>
    <row r="73">
      <c r="A73" s="380">
        <v>43140.0</v>
      </c>
      <c r="B73" s="374" t="s">
        <v>655</v>
      </c>
      <c r="C73" s="375" t="str">
        <f>HYPERLINK("https://www.eventbrite.com/e/ilearnnyc-tech-tools-to-create-engage-and-deliver-instruction-tickets-38052335560","Register here")</f>
        <v>Register here</v>
      </c>
      <c r="D73" s="376" t="s">
        <v>738</v>
      </c>
      <c r="E73" s="376" t="s">
        <v>739</v>
      </c>
      <c r="F73" s="397" t="s">
        <v>729</v>
      </c>
      <c r="G73" s="377" t="s">
        <v>525</v>
      </c>
      <c r="H73" s="376" t="s">
        <v>740</v>
      </c>
      <c r="I73" s="387"/>
      <c r="J73" s="387"/>
      <c r="K73" s="387"/>
      <c r="L73" s="387"/>
      <c r="M73" s="387"/>
      <c r="N73" s="387"/>
    </row>
    <row r="74">
      <c r="A74" s="380">
        <v>43140.0</v>
      </c>
      <c r="B74" s="374" t="s">
        <v>741</v>
      </c>
      <c r="C74" s="375" t="str">
        <f>HYPERLINK("https://www.eventbrite.com/e/ilearnnyc-know-your-students-better-formative-assessment-tech-tools-tickets-38055695610","Register here")</f>
        <v>Register here</v>
      </c>
      <c r="D74" s="376" t="s">
        <v>738</v>
      </c>
      <c r="E74" s="376" t="s">
        <v>746</v>
      </c>
      <c r="F74" s="397" t="s">
        <v>729</v>
      </c>
      <c r="G74" s="377" t="s">
        <v>525</v>
      </c>
      <c r="H74" s="376" t="s">
        <v>747</v>
      </c>
      <c r="I74" s="387"/>
      <c r="J74" s="387"/>
      <c r="K74" s="387"/>
      <c r="L74" s="387"/>
      <c r="M74" s="387"/>
      <c r="N74" s="387"/>
    </row>
    <row r="75">
      <c r="A75" s="380">
        <v>43140.0</v>
      </c>
      <c r="B75" s="378" t="str">
        <f>HYPERLINK("https://nycdoe-my.sharepoint.com/personal/nschepi_schools_nyc_gov/_layouts/15/guestaccess.aspx?folderid=0d41c834e3d62419195aeba5b4bda8709&amp;authkey=AeZr6ag6xwE_hnzKD4EiFhk","Apple &amp; Windows Imaging")</f>
        <v>Apple &amp; Windows Imaging</v>
      </c>
      <c r="C75" s="375" t="str">
        <f>HYPERLINK("https://www.surveygizmo.com/s3/2325967/SPOC-PD-Registration","Register here")</f>
        <v>Register here</v>
      </c>
      <c r="D75" s="376" t="s">
        <v>596</v>
      </c>
      <c r="E75" s="376" t="s">
        <v>539</v>
      </c>
      <c r="F75" s="397" t="s">
        <v>116</v>
      </c>
      <c r="G75" s="377" t="s">
        <v>525</v>
      </c>
      <c r="H75" s="376" t="s">
        <v>574</v>
      </c>
      <c r="I75" s="387"/>
      <c r="J75" s="387"/>
      <c r="K75" s="387"/>
      <c r="L75" s="387"/>
      <c r="M75" s="387"/>
      <c r="N75" s="387"/>
    </row>
    <row r="76">
      <c r="A76" s="380">
        <v>43139.0</v>
      </c>
      <c r="B76" s="374" t="s">
        <v>750</v>
      </c>
      <c r="C76" s="375" t="str">
        <f>HYPERLINK("https://www.eventbrite.com/e/ilearnnyc-creating-comics-to-wow-your-students-tickets-38054251290","Register here")</f>
        <v>Register here</v>
      </c>
      <c r="D76" s="376" t="s">
        <v>728</v>
      </c>
      <c r="E76" s="376" t="s">
        <v>733</v>
      </c>
      <c r="F76" s="397" t="s">
        <v>729</v>
      </c>
      <c r="G76" s="377" t="s">
        <v>525</v>
      </c>
      <c r="H76" s="376" t="s">
        <v>751</v>
      </c>
      <c r="I76" s="387"/>
      <c r="J76" s="387"/>
      <c r="K76" s="387"/>
      <c r="L76" s="387"/>
      <c r="M76" s="387"/>
      <c r="N76" s="387"/>
    </row>
    <row r="77">
      <c r="A77" s="380">
        <v>43138.0</v>
      </c>
      <c r="B77" s="374" t="s">
        <v>669</v>
      </c>
      <c r="C77" s="375" t="str">
        <f>HYPERLINK("https://www.eventbrite.com/e/ilearnnyc-deeper-dive-with-google-drive-tickets-38053694625","Register here")</f>
        <v>Register here</v>
      </c>
      <c r="D77" s="376" t="s">
        <v>728</v>
      </c>
      <c r="E77" s="376" t="s">
        <v>733</v>
      </c>
      <c r="F77" s="397" t="s">
        <v>729</v>
      </c>
      <c r="G77" s="377" t="s">
        <v>525</v>
      </c>
      <c r="H77" s="376" t="s">
        <v>755</v>
      </c>
      <c r="I77" s="387"/>
      <c r="J77" s="387"/>
      <c r="K77" s="387"/>
      <c r="L77" s="387"/>
      <c r="M77" s="387"/>
      <c r="N77" s="387"/>
    </row>
    <row r="78">
      <c r="A78" s="380">
        <v>43137.0</v>
      </c>
      <c r="B78" s="374" t="s">
        <v>585</v>
      </c>
      <c r="C78" s="466" t="str">
        <f>HYPERLINK("https://www.eventbrite.com/e/ilearnnyc-tell-your-tale-digital-storytelling-for-the-classroom-tickets-38052918303","Register here")</f>
        <v>Register here</v>
      </c>
      <c r="D78" s="376" t="s">
        <v>728</v>
      </c>
      <c r="E78" s="376" t="s">
        <v>733</v>
      </c>
      <c r="F78" s="397" t="s">
        <v>729</v>
      </c>
      <c r="G78" s="377" t="s">
        <v>525</v>
      </c>
      <c r="H78" s="376" t="s">
        <v>757</v>
      </c>
      <c r="I78" s="387"/>
      <c r="J78" s="387"/>
      <c r="K78" s="387"/>
      <c r="L78" s="387"/>
      <c r="M78" s="387"/>
      <c r="N78" s="387"/>
    </row>
    <row r="79">
      <c r="A79" s="380">
        <v>43133.0</v>
      </c>
      <c r="B79" s="378" t="str">
        <f>HYPERLINK("https://nycdoe-my.sharepoint.com/personal/nschepi_schools_nyc_gov/_layouts/15/guestaccess.aspx?folderid=0d41c834e3d62419195aeba5b4bda8709&amp;authkey=AeZr6ag6xwE_hnzKD4EiFhk","Computer Support Basics")</f>
        <v>Computer Support Basics</v>
      </c>
      <c r="C79" s="375" t="str">
        <f>HYPERLINK("https://www.surveygizmo.com/s3/2325967/SPOC-PD-Registration","Register here")</f>
        <v>Register here</v>
      </c>
      <c r="D79" s="376" t="s">
        <v>573</v>
      </c>
      <c r="E79" s="376" t="s">
        <v>539</v>
      </c>
      <c r="F79" s="397" t="s">
        <v>116</v>
      </c>
      <c r="G79" s="377" t="s">
        <v>525</v>
      </c>
      <c r="H79" s="376" t="s">
        <v>595</v>
      </c>
      <c r="I79" s="387"/>
      <c r="J79" s="387"/>
      <c r="K79" s="387"/>
      <c r="L79" s="387"/>
      <c r="M79" s="387"/>
      <c r="N79" s="387"/>
    </row>
    <row r="80">
      <c r="A80" s="380">
        <v>43131.0</v>
      </c>
      <c r="B80" s="378" t="str">
        <f>HYPERLINK("https://myevents.apple.com/content/events/us_education/us/en/k12macnycdoe-land.html?token=drj2zDP41Q9Q4RQOj_Xi7pTxrQS9fzyC9MezvOKN4Cjgo3WPqHhspbic0AIQolNqCVjTlCSRwSzyMg-94qFx_pbxcnC13lA9xFfnGFHjAOk","Deploying Mac in NYCDOE")</f>
        <v>Deploying Mac in NYCDOE</v>
      </c>
      <c r="C80" s="375" t="str">
        <f>HYPERLINK("https://myevents.apple.com/content/events/us_education/us/en/k12macnycdoe-land/k12macnycdoe-rgst.html?token=drj2zDP41Q9Q4RQOj_Xi7pLr-M8yWKAs2_ddnxBVlyVDv4fU8a3nL6QIU3iaVA5HUwkWNNYFhN7ku0VjFSsGtrj4Kv8Cr5dgR-cCq9RzNH0","Register here")</f>
        <v>Register here</v>
      </c>
      <c r="D80" s="376" t="s">
        <v>535</v>
      </c>
      <c r="E80" s="376" t="s">
        <v>760</v>
      </c>
      <c r="F80" s="397" t="s">
        <v>536</v>
      </c>
      <c r="G80" s="377"/>
      <c r="H80" s="376" t="s">
        <v>537</v>
      </c>
      <c r="I80" s="387"/>
      <c r="J80" s="387"/>
      <c r="K80" s="387"/>
      <c r="L80" s="387"/>
      <c r="M80" s="387"/>
      <c r="N80" s="387"/>
    </row>
    <row r="81">
      <c r="A81" s="380">
        <v>43131.0</v>
      </c>
      <c r="B81" s="378" t="str">
        <f>HYPERLINK("https://myevents.apple.com/content/events/us_education/us/en/k12ipadnycdoe-land.html?token=0eS6qqntOZZT6la8OxK0UwxjNiJ0QuZbw4qBvAug3FAdfmsxqNIkHV-sfFDL7exRT8ocGrRS7quB1ZyRQcr8Xth4ona0Oh9pvj5DiY74Fi0","Deploying iOS in NYCDOE")</f>
        <v>Deploying iOS in NYCDOE</v>
      </c>
      <c r="C81" s="375" t="str">
        <f>HYPERLINK("https://myevents.apple.com/content/events/us_education/us/en/k12ipadnycdoe-land/k12ipadnycdoe-rgst.html?token=0eS6qqntOZZT6la8OxK0U-K4KjljI600OI5kHn8aqGKFhZlSJuILyXIe4ya9mI_axiFph3Sf92ZPCQqqiy0yhbBDNhQQdtJhkoB-T0S0Ofk","Register here")</f>
        <v>Register here</v>
      </c>
      <c r="D81" s="376" t="s">
        <v>535</v>
      </c>
      <c r="E81" s="376" t="s">
        <v>444</v>
      </c>
      <c r="F81" s="397" t="s">
        <v>536</v>
      </c>
      <c r="G81" s="377"/>
      <c r="H81" s="376" t="s">
        <v>538</v>
      </c>
      <c r="I81" s="387"/>
      <c r="J81" s="387"/>
      <c r="K81" s="387"/>
      <c r="L81" s="387"/>
      <c r="M81" s="387"/>
      <c r="N81" s="387"/>
    </row>
    <row r="82">
      <c r="A82" s="380">
        <v>43129.0</v>
      </c>
      <c r="B82" s="378" t="str">
        <f>HYPERLINK("https://drive.google.com/file/d/138SepgmnL0j-FQcaDcHJ4Tl539J_3rXB/view?usp=sharing","Innovation Institute II")</f>
        <v>Innovation Institute II</v>
      </c>
      <c r="C82" s="375" t="str">
        <f>HYPERLINK("http://tinyurl.com/Jan29Institute","Register here")</f>
        <v>Register here</v>
      </c>
      <c r="D82" s="376" t="s">
        <v>766</v>
      </c>
      <c r="E82" s="376" t="s">
        <v>550</v>
      </c>
      <c r="F82" s="397" t="s">
        <v>767</v>
      </c>
      <c r="G82" s="377" t="s">
        <v>525</v>
      </c>
      <c r="H82" s="376" t="s">
        <v>768</v>
      </c>
      <c r="I82" s="387"/>
      <c r="J82" s="387"/>
      <c r="K82" s="387"/>
      <c r="L82" s="387"/>
      <c r="M82" s="387"/>
      <c r="N82" s="387"/>
    </row>
    <row r="83">
      <c r="A83" s="436">
        <v>43125.0</v>
      </c>
      <c r="B83" s="218" t="s">
        <v>769</v>
      </c>
      <c r="C83" s="440" t="s">
        <v>517</v>
      </c>
      <c r="D83" s="218" t="s">
        <v>770</v>
      </c>
      <c r="E83" s="218" t="s">
        <v>771</v>
      </c>
      <c r="F83" s="467" t="s">
        <v>347</v>
      </c>
      <c r="G83" s="468"/>
      <c r="H83" s="218" t="s">
        <v>773</v>
      </c>
      <c r="I83" s="392"/>
      <c r="J83" s="392"/>
      <c r="K83" s="392"/>
      <c r="L83" s="392"/>
      <c r="M83" s="392"/>
      <c r="N83" s="392"/>
    </row>
    <row r="84">
      <c r="A84" s="436">
        <v>43125.0</v>
      </c>
      <c r="B84" s="218" t="s">
        <v>774</v>
      </c>
      <c r="C84" s="440" t="s">
        <v>517</v>
      </c>
      <c r="D84" s="218" t="s">
        <v>775</v>
      </c>
      <c r="E84" s="218" t="s">
        <v>776</v>
      </c>
      <c r="F84" s="467" t="s">
        <v>347</v>
      </c>
      <c r="G84" s="468"/>
      <c r="H84" s="218" t="s">
        <v>777</v>
      </c>
      <c r="I84" s="392"/>
      <c r="J84" s="392"/>
      <c r="K84" s="392"/>
      <c r="L84" s="392"/>
      <c r="M84" s="392"/>
      <c r="N84" s="392"/>
    </row>
    <row r="85">
      <c r="A85" s="469">
        <v>43123.0</v>
      </c>
      <c r="B85" s="378" t="str">
        <f>HYPERLINK("https://docs.google.com/document/d/1qVyvTj33O6uCfKEhJEp5IWJp-aBCJ0BQm_Q0o_l493E/edit","Get Going W/Gsuite and Google Classroom")</f>
        <v>Get Going W/Gsuite and Google Classroom</v>
      </c>
      <c r="C85" s="375" t="str">
        <f>HYPERLINK("https://docs.google.com/forms/d/e/1FAIpQLSfTUXgcf3YycBZM_S7CtHizCB5nPFC-VDW3tW3YALBv-6LeLg/viewform","Register here")</f>
        <v>Register here</v>
      </c>
      <c r="D85" s="376" t="s">
        <v>735</v>
      </c>
      <c r="E85" s="376" t="s">
        <v>539</v>
      </c>
      <c r="F85" s="376" t="s">
        <v>736</v>
      </c>
      <c r="G85" s="471" t="s">
        <v>525</v>
      </c>
      <c r="H85" s="472" t="s">
        <v>782</v>
      </c>
      <c r="I85" s="473"/>
      <c r="J85" s="473"/>
      <c r="K85" s="473"/>
      <c r="L85" s="473"/>
      <c r="M85" s="473"/>
      <c r="N85" s="473"/>
    </row>
    <row r="86">
      <c r="A86" s="380">
        <v>43117.0</v>
      </c>
      <c r="B86" s="378" t="str">
        <f>HYPERLINK("https://nycdoe-my.sharepoint.com/personal/nschepi_schools_nyc_gov/_layouts/15/guestaccess.aspx?folderid=0d41c834e3d62419195aeba5b4bda8709&amp;authkey=AeZr6ag6xwE_hnzKD4EiFhk","I'm a SPOC, Now What?")</f>
        <v>I'm a SPOC, Now What?</v>
      </c>
      <c r="C86" s="402" t="s">
        <v>784</v>
      </c>
      <c r="D86" s="376" t="s">
        <v>573</v>
      </c>
      <c r="E86" s="376" t="s">
        <v>539</v>
      </c>
      <c r="F86" s="397" t="s">
        <v>116</v>
      </c>
      <c r="G86" s="377" t="s">
        <v>525</v>
      </c>
      <c r="H86" s="376" t="s">
        <v>645</v>
      </c>
      <c r="I86" s="387"/>
      <c r="J86" s="387"/>
      <c r="K86" s="387"/>
      <c r="L86" s="387"/>
      <c r="M86" s="387"/>
      <c r="N86" s="387"/>
    </row>
    <row r="87">
      <c r="A87" s="380">
        <v>43112.0</v>
      </c>
      <c r="B87" s="378" t="str">
        <f>HYPERLINK("https://nycdoe-my.sharepoint.com/personal/nschepi_schools_nyc_gov/_layouts/15/guestaccess.aspx?docid=08d7a19c6060d4b7bba7fa1112f4088b7&amp;authkey=AUWf4whAzlneQavpsPV7WZM","Classsroom Display Tech Panel Discussion")</f>
        <v>Classsroom Display Tech Panel Discussion</v>
      </c>
      <c r="C87" s="375" t="str">
        <f t="shared" ref="C87:C89" si="3">HYPERLINK("https://www.surveygizmo.com/s3/2325967/SPOC-PD-Registration","Register here")</f>
        <v>Register here</v>
      </c>
      <c r="D87" s="376" t="s">
        <v>583</v>
      </c>
      <c r="E87" s="376" t="s">
        <v>539</v>
      </c>
      <c r="F87" s="397" t="s">
        <v>116</v>
      </c>
      <c r="G87" s="377" t="s">
        <v>525</v>
      </c>
      <c r="H87" s="376" t="s">
        <v>788</v>
      </c>
      <c r="I87" s="387"/>
      <c r="J87" s="387"/>
      <c r="K87" s="387"/>
      <c r="L87" s="387"/>
      <c r="M87" s="387"/>
      <c r="N87" s="387"/>
    </row>
    <row r="88">
      <c r="A88" s="380">
        <v>43110.0</v>
      </c>
      <c r="B88" s="378" t="str">
        <f>HYPERLINK("https://nycdoe-my.sharepoint.com/personal/nschepi_schools_nyc_gov/_layouts/15/guestaccess.aspx?folderid=0d41c834e3d62419195aeba5b4bda8709&amp;authkey=AeZr6ag6xwE_hnzKD4EiFhk","Maximize your Existing Bandwidth")</f>
        <v>Maximize your Existing Bandwidth</v>
      </c>
      <c r="C88" s="375" t="str">
        <f t="shared" si="3"/>
        <v>Register here</v>
      </c>
      <c r="D88" s="376" t="s">
        <v>596</v>
      </c>
      <c r="E88" s="376" t="s">
        <v>539</v>
      </c>
      <c r="F88" s="397" t="s">
        <v>116</v>
      </c>
      <c r="G88" s="377" t="s">
        <v>525</v>
      </c>
      <c r="H88" s="376" t="s">
        <v>594</v>
      </c>
      <c r="I88" s="387"/>
      <c r="J88" s="387"/>
      <c r="K88" s="387"/>
      <c r="L88" s="387"/>
      <c r="M88" s="387"/>
      <c r="N88" s="387"/>
    </row>
    <row r="89">
      <c r="A89" s="380">
        <v>43082.0</v>
      </c>
      <c r="B89" s="378" t="str">
        <f>HYPERLINK("https://nycdoe-my.sharepoint.com/personal/nschepi_schools_nyc_gov/_layouts/15/guestaccess.aspx?folderid=0d41c834e3d62419195aeba5b4bda8709&amp;authkey=AeZr6ag6xwE_hnzKD4EiFhk","Apple &amp; Windows Imaging")</f>
        <v>Apple &amp; Windows Imaging</v>
      </c>
      <c r="C89" s="375" t="str">
        <f t="shared" si="3"/>
        <v>Register here</v>
      </c>
      <c r="D89" s="376" t="s">
        <v>592</v>
      </c>
      <c r="E89" s="376" t="s">
        <v>539</v>
      </c>
      <c r="F89" s="397" t="s">
        <v>116</v>
      </c>
      <c r="G89" s="377" t="s">
        <v>525</v>
      </c>
      <c r="H89" s="376" t="s">
        <v>574</v>
      </c>
      <c r="I89" s="387"/>
      <c r="J89" s="387"/>
      <c r="K89" s="387"/>
      <c r="L89" s="387"/>
      <c r="M89" s="387"/>
      <c r="N89" s="387"/>
    </row>
    <row r="90">
      <c r="A90" s="475">
        <v>43082.0</v>
      </c>
      <c r="B90" s="476" t="s">
        <v>793</v>
      </c>
      <c r="C90" s="477" t="str">
        <f>HYPERLINK("https://www.eventbrite.com/e/smart-learning-suite-basics-and-smart-iq-tickets-38439912814","Register here")</f>
        <v>Register here</v>
      </c>
      <c r="D90" s="476" t="s">
        <v>794</v>
      </c>
      <c r="E90" s="476" t="s">
        <v>795</v>
      </c>
      <c r="F90" s="478" t="s">
        <v>347</v>
      </c>
      <c r="G90" s="377" t="s">
        <v>525</v>
      </c>
      <c r="H90" s="476" t="s">
        <v>802</v>
      </c>
      <c r="I90" s="479"/>
      <c r="J90" s="479"/>
      <c r="K90" s="479"/>
      <c r="L90" s="479"/>
      <c r="M90" s="479"/>
      <c r="N90" s="479"/>
    </row>
    <row r="91">
      <c r="A91" s="475">
        <v>43082.0</v>
      </c>
      <c r="B91" s="476" t="s">
        <v>803</v>
      </c>
      <c r="C91" s="477" t="str">
        <f>HYPERLINK("https://www.eventbrite.com/e/connecting-chromebooks-to-the-smart-notebook-software-tickets-38439944910","Register here")</f>
        <v>Register here</v>
      </c>
      <c r="D91" s="476" t="s">
        <v>804</v>
      </c>
      <c r="E91" s="476" t="s">
        <v>805</v>
      </c>
      <c r="F91" s="478" t="s">
        <v>347</v>
      </c>
      <c r="G91" s="377" t="s">
        <v>525</v>
      </c>
      <c r="H91" s="476" t="s">
        <v>811</v>
      </c>
      <c r="I91" s="479"/>
      <c r="J91" s="479"/>
      <c r="K91" s="479"/>
      <c r="L91" s="479"/>
      <c r="M91" s="479"/>
      <c r="N91" s="479"/>
    </row>
    <row r="92">
      <c r="A92" s="475">
        <v>43082.0</v>
      </c>
      <c r="B92" s="476" t="s">
        <v>793</v>
      </c>
      <c r="C92" s="477" t="str">
        <f>HYPERLINK("https://www.eventbrite.com/e/smart-learning-suite-basics-and-smart-iq-tickets-38637562991","Register here")</f>
        <v>Register here</v>
      </c>
      <c r="D92" s="476" t="s">
        <v>812</v>
      </c>
      <c r="E92" s="476" t="s">
        <v>813</v>
      </c>
      <c r="F92" s="478" t="s">
        <v>347</v>
      </c>
      <c r="G92" s="377" t="s">
        <v>525</v>
      </c>
      <c r="H92" s="476" t="s">
        <v>802</v>
      </c>
      <c r="I92" s="479"/>
      <c r="J92" s="479"/>
      <c r="K92" s="479"/>
      <c r="L92" s="479"/>
      <c r="M92" s="479"/>
      <c r="N92" s="479"/>
    </row>
    <row r="93">
      <c r="A93" s="475">
        <v>43082.0</v>
      </c>
      <c r="B93" s="476" t="s">
        <v>803</v>
      </c>
      <c r="C93" s="477" t="str">
        <f>HYPERLINK("https://www.eventbrite.com/e/connecting-chromebooks-to-the-smart-notebook-software-tickets-38660622964","Register here")</f>
        <v>Register here</v>
      </c>
      <c r="D93" s="476" t="s">
        <v>812</v>
      </c>
      <c r="E93" s="476" t="s">
        <v>819</v>
      </c>
      <c r="F93" s="478" t="s">
        <v>347</v>
      </c>
      <c r="G93" s="377" t="s">
        <v>525</v>
      </c>
      <c r="H93" s="476" t="s">
        <v>811</v>
      </c>
      <c r="I93" s="479"/>
      <c r="J93" s="479"/>
      <c r="K93" s="479"/>
      <c r="L93" s="479"/>
      <c r="M93" s="479"/>
      <c r="N93" s="479"/>
    </row>
    <row r="94">
      <c r="A94" s="380">
        <v>43080.0</v>
      </c>
      <c r="B94" s="374" t="s">
        <v>823</v>
      </c>
      <c r="C94" s="375" t="str">
        <f>HYPERLINK("https://docs.google.com/forms/d/e/1FAIpQLSfTUXgcf3YycBZM_S7CtHizCB5nPFC-VDW3tW3YALBv-6LeLg/viewform","Register here")</f>
        <v>Register here</v>
      </c>
      <c r="D94" s="376" t="s">
        <v>735</v>
      </c>
      <c r="E94" s="376" t="s">
        <v>539</v>
      </c>
      <c r="F94" s="376" t="s">
        <v>736</v>
      </c>
      <c r="G94" s="377" t="s">
        <v>525</v>
      </c>
      <c r="H94" s="376" t="s">
        <v>737</v>
      </c>
      <c r="I94" s="387"/>
      <c r="J94" s="387"/>
      <c r="K94" s="387"/>
      <c r="L94" s="387"/>
      <c r="M94" s="387"/>
      <c r="N94" s="387"/>
    </row>
    <row r="95">
      <c r="A95" s="380">
        <v>43080.0</v>
      </c>
      <c r="B95" s="378" t="str">
        <f>HYPERLINK("https://myevents.apple.com/content/events/us_education/us/en/k12macnycdoe-land.html?token=drj2zDP41Q9Q4RQOj_Xi7qn6keRFEK-_U4p2KjntZn7LmzOAKynYk-BuP84bHMI_fwC9uRW-jkFrRVo6nPbt_pMIbjOoJ5oJ_o-OtvPmvME","Deploying Mac in NYCDOE")</f>
        <v>Deploying Mac in NYCDOE</v>
      </c>
      <c r="C95" s="375" t="str">
        <f>HYPERLINK("https://myevents.apple.com/content/events/us_education/us/en/k12macnycdoe-land/k12macnycdoe-rgst.html?token=drj2zDP41Q9Q4RQOj_Xi7j8Bd9WQXeyxiuyVtzuY5TDGRsvI93ZgpR1Pq-2a41eDpVF60yotxgysAcnzGi5UzPizu0GTFYedzWJpwBKK5n8","Register here")</f>
        <v>Register here</v>
      </c>
      <c r="D95" s="376" t="s">
        <v>535</v>
      </c>
      <c r="E95" s="376" t="s">
        <v>826</v>
      </c>
      <c r="F95" s="397" t="s">
        <v>536</v>
      </c>
      <c r="G95" s="130"/>
      <c r="H95" s="376" t="s">
        <v>537</v>
      </c>
      <c r="I95" s="387"/>
      <c r="J95" s="387"/>
      <c r="K95" s="387"/>
      <c r="L95" s="387"/>
      <c r="M95" s="387"/>
      <c r="N95" s="387"/>
    </row>
    <row r="96">
      <c r="A96" s="380">
        <v>43080.0</v>
      </c>
      <c r="B96" s="378" t="str">
        <f>HYPERLINK("https://myevents.apple.com/content/events/us_education/us/en/k12ipadnycdoe-land.html?token=0eS6qqntOZZT6la8OxK0U6WhJljSmXHSSoGDLJeYZ4RQAPA4JNZfIOeIMWI5lTDERfngkNTVMuAqqrRH8MYWFIQl_-AQQ05p95Nrb_w862Q","Deploying IOS in NYCDOE")</f>
        <v>Deploying IOS in NYCDOE</v>
      </c>
      <c r="C96" s="375" t="str">
        <f>HYPERLINK("https://myevents.apple.com/content/events/us_education/us/en/k12ipadnycdoe-land/k12ipadnycdoe-rgst.html?token=0eS6qqntOZZT6la8OxK0U1FWvx57N4BhNPzPTvrcIX_uku69Llp4qQrlAeQgXSyY0oGq-ikodFSLxpHGTrqR3-HlLXYYAomcQ4OM7eM3Pss","Register here")</f>
        <v>Register here</v>
      </c>
      <c r="D96" s="376" t="s">
        <v>535</v>
      </c>
      <c r="E96" s="376" t="s">
        <v>444</v>
      </c>
      <c r="F96" s="397" t="s">
        <v>536</v>
      </c>
      <c r="G96" s="130"/>
      <c r="H96" s="376" t="s">
        <v>538</v>
      </c>
      <c r="I96" s="387"/>
      <c r="J96" s="387"/>
      <c r="K96" s="387"/>
      <c r="L96" s="387"/>
      <c r="M96" s="387"/>
      <c r="N96" s="387"/>
    </row>
    <row r="97">
      <c r="A97" s="380">
        <v>43077.0</v>
      </c>
      <c r="B97" s="378" t="str">
        <f>HYPERLINK("https://nycdoe-my.sharepoint.com/personal/nschepi_schools_nyc_gov/_layouts/15/guestaccess.aspx?folderid=0d41c834e3d62419195aeba5b4bda8709&amp;authkey=AeZr6ag6xwE_hnzKD4EiFhk","Maximize your Existing Bandwidth")</f>
        <v>Maximize your Existing Bandwidth</v>
      </c>
      <c r="C97" s="375" t="str">
        <f t="shared" ref="C97:C98" si="4">HYPERLINK("https://www.surveygizmo.com/s3/2325967/SPOC-PD-Registration","Register here")</f>
        <v>Register here</v>
      </c>
      <c r="D97" s="376" t="s">
        <v>827</v>
      </c>
      <c r="E97" s="376" t="s">
        <v>539</v>
      </c>
      <c r="F97" s="397" t="s">
        <v>116</v>
      </c>
      <c r="G97" s="377" t="s">
        <v>525</v>
      </c>
      <c r="H97" s="376" t="s">
        <v>594</v>
      </c>
      <c r="I97" s="387"/>
      <c r="J97" s="387"/>
      <c r="K97" s="387"/>
      <c r="L97" s="387"/>
      <c r="M97" s="387"/>
      <c r="N97" s="387"/>
    </row>
    <row r="98">
      <c r="A98" s="380">
        <v>43075.0</v>
      </c>
      <c r="B98" s="378" t="str">
        <f>HYPERLINK("https://nycdoe-my.sharepoint.com/personal/nschepi_schools_nyc_gov/_layouts/15/guestaccess.aspx?folderid=0d41c834e3d62419195aeba5b4bda8709&amp;authkey=AeZr6ag6xwE_hnzKD4EiFhk","Computer Support Basics")</f>
        <v>Computer Support Basics</v>
      </c>
      <c r="C98" s="375" t="str">
        <f t="shared" si="4"/>
        <v>Register here</v>
      </c>
      <c r="D98" s="376" t="s">
        <v>828</v>
      </c>
      <c r="E98" s="376" t="s">
        <v>539</v>
      </c>
      <c r="F98" s="397" t="s">
        <v>116</v>
      </c>
      <c r="G98" s="377" t="s">
        <v>525</v>
      </c>
      <c r="H98" s="376" t="s">
        <v>595</v>
      </c>
      <c r="I98" s="387"/>
      <c r="J98" s="387"/>
      <c r="K98" s="387"/>
      <c r="L98" s="387"/>
      <c r="M98" s="387"/>
      <c r="N98" s="387"/>
    </row>
    <row r="99">
      <c r="A99" s="380">
        <v>43070.0</v>
      </c>
      <c r="B99" s="484" t="s">
        <v>829</v>
      </c>
      <c r="C99" s="375" t="s">
        <v>517</v>
      </c>
      <c r="D99" s="376" t="s">
        <v>830</v>
      </c>
      <c r="E99" s="376" t="s">
        <v>831</v>
      </c>
      <c r="F99" s="484" t="s">
        <v>832</v>
      </c>
      <c r="G99" s="130"/>
      <c r="H99" s="376" t="s">
        <v>834</v>
      </c>
      <c r="I99" s="387"/>
      <c r="J99" s="387"/>
      <c r="K99" s="387"/>
      <c r="L99" s="387"/>
      <c r="M99" s="387"/>
      <c r="N99" s="387"/>
    </row>
    <row r="100">
      <c r="A100" s="380">
        <v>43070.0</v>
      </c>
      <c r="B100" s="378" t="str">
        <f>HYPERLINK("https://nycdoe-my.sharepoint.com/personal/nschepi_schools_nyc_gov/_layouts/15/guestaccess.aspx?folderid=0d41c834e3d62419195aeba5b4bda8709&amp;authkey=AeZr6ag6xwE_hnzKD4EiFhk","I'm a SPOC, Now What?")</f>
        <v>I'm a SPOC, Now What?</v>
      </c>
      <c r="C100" s="375" t="str">
        <f t="shared" ref="C100:C101" si="5">HYPERLINK("https://www.surveygizmo.com/s3/2325967/SPOC-PD-Registration","Register here")</f>
        <v>Register here</v>
      </c>
      <c r="D100" s="376" t="s">
        <v>828</v>
      </c>
      <c r="E100" s="376" t="s">
        <v>539</v>
      </c>
      <c r="F100" s="397" t="s">
        <v>116</v>
      </c>
      <c r="G100" s="377" t="s">
        <v>525</v>
      </c>
      <c r="H100" s="376" t="s">
        <v>645</v>
      </c>
      <c r="I100" s="387"/>
      <c r="J100" s="387"/>
      <c r="K100" s="387"/>
      <c r="L100" s="387"/>
      <c r="M100" s="387"/>
      <c r="N100" s="387"/>
    </row>
    <row r="101">
      <c r="A101" s="380">
        <v>43068.0</v>
      </c>
      <c r="B101" s="378" t="str">
        <f>HYPERLINK("https://nycdoe-my.sharepoint.com/personal/nschepi_schools_nyc_gov/_layouts/15/guestaccess.aspx?folderid=0d41c834e3d62419195aeba5b4bda8709&amp;authkey=AeZr6ag6xwE_hnzKD4EiFhk","Maximize your Existing Bandwidth")</f>
        <v>Maximize your Existing Bandwidth</v>
      </c>
      <c r="C101" s="375" t="str">
        <f t="shared" si="5"/>
        <v>Register here</v>
      </c>
      <c r="D101" s="376" t="s">
        <v>592</v>
      </c>
      <c r="E101" s="376" t="s">
        <v>539</v>
      </c>
      <c r="F101" s="397" t="s">
        <v>116</v>
      </c>
      <c r="G101" s="377" t="s">
        <v>525</v>
      </c>
      <c r="H101" s="376" t="s">
        <v>594</v>
      </c>
      <c r="I101" s="387"/>
      <c r="J101" s="387"/>
      <c r="K101" s="387"/>
      <c r="L101" s="387"/>
      <c r="M101" s="387"/>
      <c r="N101" s="387"/>
    </row>
    <row r="102">
      <c r="A102" s="380">
        <v>43066.0</v>
      </c>
      <c r="B102" s="378" t="str">
        <f>HYPERLINK("https://myevents.apple.com/content/events/us_education/us/en/k12macnycdoe-land.html?token=jHjMZtujNG1QuyoXwG9Dm84-2zqd4ao1Ih3Kg0Rqzu3NWVNA6sEgh3QxBtsI55V0L8DEfo36SXRnImpKRjFI-uzxtACOkWo_i-AH1vcuu8o","Deploying Mac in NYCDOE")</f>
        <v>Deploying Mac in NYCDOE</v>
      </c>
      <c r="C102" s="375" t="str">
        <f>HYPERLINK("https://myevents.apple.com/content/events/us_education/us/en/k12macnycdoe-land/k12macnycdoe-rgst.html?token=jHjMZtujNG1QuyoXwG9Dm_WZ7V7sW8WoG2-ys-bmLj0g-3nLQsu-A4o9xYjCjxq1MFFjzSfXj38dQIL2fQ8dYKjQ2D7vGhCpLbUr6OnaZkw","Register here")</f>
        <v>Register here</v>
      </c>
      <c r="D102" s="376" t="s">
        <v>535</v>
      </c>
      <c r="E102" s="376" t="s">
        <v>826</v>
      </c>
      <c r="F102" s="397" t="s">
        <v>536</v>
      </c>
      <c r="G102" s="130"/>
      <c r="H102" s="376" t="s">
        <v>537</v>
      </c>
      <c r="I102" s="387"/>
      <c r="J102" s="387"/>
      <c r="K102" s="387"/>
      <c r="L102" s="387"/>
      <c r="M102" s="387"/>
      <c r="N102" s="387"/>
    </row>
    <row r="103">
      <c r="A103" s="380">
        <v>43066.0</v>
      </c>
      <c r="B103" s="378" t="str">
        <f>HYPERLINK("https://myevents.apple.com/content/events/us_education/us/en/k12ipadnycdoe-land.html?token=0eS6qqntOZZT6la8OxK0U-dMWaXXFQZmOBuYlC_jWK9A7r_rNE9rdQpywbWAsrqygw8kgmf0Y10TaknNrMkbISSgBuKv2k_xU-B7PbueOEg","Deploying IOS in NYCDOE")</f>
        <v>Deploying IOS in NYCDOE</v>
      </c>
      <c r="C103" s="375" t="str">
        <f>HYPERLINK("https://myevents.apple.com/content/events/us_education/us/en/k12ipadnycdoe-land/k12ipadnycdoe-rgst.html?token=0eS6qqntOZZT6la8OxK0Ux1kMLubuWGy5jW99KwFU9DkY9ju4i55qKp9eIzJPgMKYIKVZOm5W8OxADL_M5x1hDfEObhNfQqeKCXGLNktb5c","Register here")</f>
        <v>Register here</v>
      </c>
      <c r="D103" s="376" t="s">
        <v>535</v>
      </c>
      <c r="E103" s="376" t="s">
        <v>444</v>
      </c>
      <c r="F103" s="397" t="s">
        <v>536</v>
      </c>
      <c r="G103" s="130"/>
      <c r="H103" s="376" t="s">
        <v>538</v>
      </c>
      <c r="I103" s="387"/>
      <c r="J103" s="387"/>
      <c r="K103" s="387"/>
      <c r="L103" s="387"/>
      <c r="M103" s="387"/>
      <c r="N103" s="387"/>
    </row>
    <row r="104">
      <c r="A104" s="380">
        <v>43056.0</v>
      </c>
      <c r="B104" s="378" t="str">
        <f>HYPERLINK("https://nycdoe-my.sharepoint.com/personal/nschepi_schools_nyc_gov/_layouts/15/guestaccess.aspx?folderid=0d41c834e3d62419195aeba5b4bda8709&amp;authkey=AeZr6ag6xwE_hnzKD4EiFhk","Apple &amp; Windows Imaging")</f>
        <v>Apple &amp; Windows Imaging</v>
      </c>
      <c r="C104" s="442" t="str">
        <f>HYPERLINK("https://www.surveygizmo.com/s3/2325967/SPOC-PD-Registration","Register here")</f>
        <v>Register here</v>
      </c>
      <c r="D104" s="376" t="s">
        <v>573</v>
      </c>
      <c r="E104" s="376" t="s">
        <v>539</v>
      </c>
      <c r="F104" s="397" t="s">
        <v>116</v>
      </c>
      <c r="G104" s="377" t="s">
        <v>525</v>
      </c>
      <c r="H104" s="376" t="s">
        <v>574</v>
      </c>
      <c r="I104" s="387"/>
      <c r="J104" s="387"/>
      <c r="K104" s="387"/>
      <c r="L104" s="387"/>
      <c r="M104" s="387"/>
      <c r="N104" s="387"/>
    </row>
    <row r="105">
      <c r="A105" s="475">
        <v>43056.0</v>
      </c>
      <c r="B105" s="476" t="s">
        <v>793</v>
      </c>
      <c r="C105" s="477" t="str">
        <f>HYPERLINK("https://www.eventbrite.com/e/smart-learning-suite-basics-and-smart-iq-tickets-38411861913","Register here")</f>
        <v>Register here</v>
      </c>
      <c r="D105" s="476" t="s">
        <v>775</v>
      </c>
      <c r="E105" s="476" t="s">
        <v>795</v>
      </c>
      <c r="F105" s="478" t="s">
        <v>347</v>
      </c>
      <c r="G105" s="377" t="s">
        <v>525</v>
      </c>
      <c r="H105" s="476" t="s">
        <v>802</v>
      </c>
      <c r="I105" s="479"/>
      <c r="J105" s="479"/>
      <c r="K105" s="479"/>
      <c r="L105" s="479"/>
      <c r="M105" s="479"/>
      <c r="N105" s="479"/>
    </row>
    <row r="106">
      <c r="A106" s="475">
        <v>43056.0</v>
      </c>
      <c r="B106" s="476" t="s">
        <v>803</v>
      </c>
      <c r="C106" s="477" t="str">
        <f>HYPERLINK("https://www.eventbrite.com/e/connecting-chromebooks-to-the-smart-notebook-software-tickets-38412314266","Register here")</f>
        <v>Register here</v>
      </c>
      <c r="D106" s="476" t="s">
        <v>835</v>
      </c>
      <c r="E106" s="476" t="s">
        <v>805</v>
      </c>
      <c r="F106" s="478" t="s">
        <v>347</v>
      </c>
      <c r="G106" s="377" t="s">
        <v>525</v>
      </c>
      <c r="H106" s="476" t="s">
        <v>811</v>
      </c>
      <c r="I106" s="479"/>
      <c r="J106" s="479"/>
      <c r="K106" s="479"/>
      <c r="L106" s="479"/>
      <c r="M106" s="479"/>
      <c r="N106" s="479"/>
    </row>
    <row r="107">
      <c r="A107" s="436">
        <v>43053.0</v>
      </c>
      <c r="B107" s="218" t="s">
        <v>836</v>
      </c>
      <c r="C107" s="440" t="str">
        <f>HYPERLINK("https://www.eventbrite.com/e/introduction-to-cura-3d-preparation-software-tickets-38859451666","Register here")</f>
        <v>Register here</v>
      </c>
      <c r="D107" s="218" t="s">
        <v>837</v>
      </c>
      <c r="E107" s="218" t="s">
        <v>771</v>
      </c>
      <c r="F107" s="467" t="s">
        <v>347</v>
      </c>
      <c r="G107" s="500"/>
      <c r="H107" s="218" t="s">
        <v>838</v>
      </c>
      <c r="I107" s="392"/>
      <c r="J107" s="392"/>
      <c r="K107" s="392"/>
      <c r="L107" s="392"/>
      <c r="M107" s="392"/>
      <c r="N107" s="392"/>
    </row>
    <row r="108">
      <c r="A108" s="436">
        <v>43053.0</v>
      </c>
      <c r="B108" s="218" t="s">
        <v>839</v>
      </c>
      <c r="C108" s="440" t="str">
        <f>HYPERLINK("https://www.eventbrite.com/e/designing-in-3d-tinkercad-tickets-38979586994","Register here")</f>
        <v>Register here</v>
      </c>
      <c r="D108" s="218" t="s">
        <v>770</v>
      </c>
      <c r="E108" s="218" t="s">
        <v>776</v>
      </c>
      <c r="F108" s="467" t="s">
        <v>347</v>
      </c>
      <c r="G108" s="500"/>
      <c r="H108" s="218" t="s">
        <v>844</v>
      </c>
      <c r="I108" s="392"/>
      <c r="J108" s="392"/>
      <c r="K108" s="392"/>
      <c r="L108" s="392"/>
      <c r="M108" s="392"/>
      <c r="N108" s="392"/>
    </row>
    <row r="109">
      <c r="A109" s="502">
        <v>43049.0</v>
      </c>
      <c r="B109" s="402" t="str">
        <f>HYPERLINK("https://nycdoe-my.sharepoint.com/personal/nschepi_schools_nyc_gov/_layouts/15/guestaccess.aspx?folderid=0d41c834e3d62419195aeba5b4bda8709&amp;authkey=AeZr6ag6xwE_hnzKD4EiFhk","I'm a SPOC, Now What?")</f>
        <v>I'm a SPOC, Now What?</v>
      </c>
      <c r="C109" s="375" t="str">
        <f>HYPERLINK("https://www.surveygizmo.com/s3/2325967/SPOC-PD-Registration","Register here")</f>
        <v>Register here</v>
      </c>
      <c r="D109" s="402" t="s">
        <v>592</v>
      </c>
      <c r="E109" s="402" t="s">
        <v>539</v>
      </c>
      <c r="F109" s="503" t="s">
        <v>116</v>
      </c>
      <c r="G109" s="504" t="s">
        <v>525</v>
      </c>
      <c r="H109" s="402" t="s">
        <v>645</v>
      </c>
      <c r="I109" s="505"/>
      <c r="J109" s="505"/>
      <c r="K109" s="505"/>
      <c r="L109" s="505"/>
      <c r="M109" s="505"/>
      <c r="N109" s="505"/>
    </row>
    <row r="110">
      <c r="A110" s="380">
        <v>43047.0</v>
      </c>
      <c r="B110" s="378" t="str">
        <f>HYPERLINK("https://nycdoe-my.sharepoint.com/personal/nschepi_schools_nyc_gov/_layouts/15/guestaccess.aspx?folderid=0d41c834e3d62419195aeba5b4bda8709&amp;authkey=AeZr6ag6xwE_hnzKD4EiFhk","Computer Support Basics")</f>
        <v>Computer Support Basics</v>
      </c>
      <c r="C110" s="402" t="s">
        <v>851</v>
      </c>
      <c r="D110" s="376" t="s">
        <v>827</v>
      </c>
      <c r="E110" s="376" t="s">
        <v>539</v>
      </c>
      <c r="F110" s="397" t="s">
        <v>116</v>
      </c>
      <c r="G110" s="377" t="s">
        <v>525</v>
      </c>
      <c r="H110" s="376" t="s">
        <v>595</v>
      </c>
      <c r="I110" s="387"/>
      <c r="J110" s="387"/>
      <c r="K110" s="387"/>
      <c r="L110" s="387"/>
      <c r="M110" s="387"/>
      <c r="N110" s="387"/>
    </row>
    <row r="111">
      <c r="A111" s="380">
        <v>43046.0</v>
      </c>
      <c r="B111" s="378" t="str">
        <f>HYPERLINK("Tinyurl.com/nycschoolstechsummitdiversity","#NYCSchoolsTech Election Day Summit On Diversity &amp; Accessibility Matters")</f>
        <v>#NYCSchoolsTech Election Day Summit On Diversity &amp; Accessibility Matters</v>
      </c>
      <c r="C111" s="375" t="str">
        <f>HYPERLINK("https://www.surveygizmo.com/s3/2456714/Professional-Learning-Sign-up","Register here")</f>
        <v>Register here</v>
      </c>
      <c r="D111" s="376" t="s">
        <v>852</v>
      </c>
      <c r="E111" s="376" t="s">
        <v>539</v>
      </c>
      <c r="F111" s="397" t="s">
        <v>116</v>
      </c>
      <c r="G111" s="377" t="s">
        <v>525</v>
      </c>
      <c r="H111" s="376" t="s">
        <v>853</v>
      </c>
      <c r="I111" s="387"/>
      <c r="J111" s="387"/>
      <c r="K111" s="387"/>
      <c r="L111" s="387"/>
      <c r="M111" s="387"/>
      <c r="N111" s="387"/>
    </row>
    <row r="112">
      <c r="A112" s="380">
        <v>43046.0</v>
      </c>
      <c r="B112" s="506" t="str">
        <f>HYPERLINK("https://nycdoe-my.sharepoint.com/personal/ggarcia22_schools_nyc_gov/_layouts/15/guestaccess.aspx?docid=0644497940a6048eeaad4a48160a7d31f&amp;authkey=AXauuvVqJ_lgBRKNKaBRqnU","iZone/iLearnNYC Innovation Institute")</f>
        <v>iZone/iLearnNYC Innovation Institute</v>
      </c>
      <c r="C112" s="375" t="str">
        <f>HYPERLINK("https://www.eventbrite.com/e/izoneilearnnyc-innovation-institute-event-election-day-nov-7-2017-tickets-38806999781","Register here")</f>
        <v>Register here</v>
      </c>
      <c r="D112" s="376" t="s">
        <v>856</v>
      </c>
      <c r="E112" s="376" t="s">
        <v>550</v>
      </c>
      <c r="F112" s="397" t="s">
        <v>857</v>
      </c>
      <c r="G112" s="377" t="s">
        <v>525</v>
      </c>
      <c r="H112" s="378" t="str">
        <f>HYPERLINK("https://nycdoe-my.sharepoint.com/personal/ggarcia22_schools_nyc_gov/_layouts/15/guestaccess.aspx?docid=0644497940a6048eeaad4a48160a7d31f&amp;authkey=AXauuvVqJ_lgBRKNKaBRqnU","Join us for the annual iZone/iLearnNYC Innovation Institute event for hands-on innovative workshops on blended learning, Google, iPads and more.  Learn how to engage your ELL students and parent community. There so much  more!")</f>
        <v>Join us for the annual iZone/iLearnNYC Innovation Institute event for hands-on innovative workshops on blended learning, Google, iPads and more.  Learn how to engage your ELL students and parent community. There so much  more!</v>
      </c>
      <c r="I112" s="379"/>
      <c r="J112" s="379"/>
      <c r="K112" s="379"/>
      <c r="L112" s="379"/>
      <c r="M112" s="379"/>
      <c r="N112" s="379"/>
    </row>
    <row r="113">
      <c r="A113" s="380">
        <v>43043.0</v>
      </c>
      <c r="B113" s="378" t="str">
        <f t="shared" ref="B113:B114" si="6">HYPERLINK("https://nycdoe-my.sharepoint.com/personal/ggarcia22_schools_nyc_gov/_layouts/15/guestaccess.aspx?docid=1528d39b0d3ee4e55a1b0ec20482d491c&amp;authkey=Adi689LicyrFmsmMB9R-f6I","Using Khan Academy for HS Math Teachers")</f>
        <v>Using Khan Academy for HS Math Teachers</v>
      </c>
      <c r="C113" s="375" t="s">
        <v>634</v>
      </c>
      <c r="D113" s="374" t="s">
        <v>856</v>
      </c>
      <c r="E113" s="376" t="s">
        <v>642</v>
      </c>
      <c r="F113" s="376" t="s">
        <v>863</v>
      </c>
      <c r="G113" s="377" t="s">
        <v>525</v>
      </c>
      <c r="H113" s="376" t="s">
        <v>864</v>
      </c>
      <c r="I113" s="387"/>
      <c r="J113" s="387"/>
      <c r="K113" s="387"/>
      <c r="L113" s="387"/>
      <c r="M113" s="387"/>
      <c r="N113" s="387"/>
    </row>
    <row r="114">
      <c r="A114" s="380">
        <v>43043.0</v>
      </c>
      <c r="B114" s="378" t="str">
        <f t="shared" si="6"/>
        <v>Using Khan Academy for HS Math Teachers</v>
      </c>
      <c r="C114" s="375" t="s">
        <v>634</v>
      </c>
      <c r="D114" s="374" t="s">
        <v>856</v>
      </c>
      <c r="E114" s="376" t="s">
        <v>415</v>
      </c>
      <c r="F114" s="376" t="s">
        <v>863</v>
      </c>
      <c r="G114" s="377" t="s">
        <v>525</v>
      </c>
      <c r="H114" s="376" t="s">
        <v>864</v>
      </c>
      <c r="I114" s="387"/>
      <c r="J114" s="387"/>
      <c r="K114" s="387"/>
      <c r="L114" s="387"/>
      <c r="M114" s="387"/>
      <c r="N114" s="387"/>
    </row>
    <row r="115">
      <c r="A115" s="380">
        <v>43042.0</v>
      </c>
      <c r="B115" s="378" t="str">
        <f>HYPERLINK("https://nycdoe-my.sharepoint.com/personal/ggarcia22_schools_nyc_gov/_layouts/15/guestaccess.aspx?docid=1528d39b0d3ee4e55a1b0ec20482d491c&amp;authkey=Adi689LicyrFmsmMB9R-f6I","Using Khan Academy in Your Classroom")</f>
        <v>Using Khan Academy in Your Classroom</v>
      </c>
      <c r="C115" s="375" t="s">
        <v>634</v>
      </c>
      <c r="D115" s="374" t="s">
        <v>866</v>
      </c>
      <c r="E115" s="376" t="s">
        <v>867</v>
      </c>
      <c r="F115" s="376" t="s">
        <v>863</v>
      </c>
      <c r="G115" s="377" t="s">
        <v>525</v>
      </c>
      <c r="H115" s="376" t="s">
        <v>870</v>
      </c>
      <c r="I115" s="387"/>
      <c r="J115" s="387"/>
      <c r="K115" s="387"/>
      <c r="L115" s="387"/>
      <c r="M115" s="387"/>
      <c r="N115" s="387"/>
    </row>
    <row r="116">
      <c r="A116" s="380">
        <v>43042.0</v>
      </c>
      <c r="B116" s="378" t="str">
        <f>HYPERLINK("https://nycdoe-my.sharepoint.com/personal/ggarcia22_schools_nyc_gov/_layouts/15/guestaccess.aspx?docid=1528d39b0d3ee4e55a1b0ec20482d491c&amp;authkey=Adi689LicyrFmsmMB9R-f6I","Using Khan Academy for AP/Reg World History and US History Teachers")</f>
        <v>Using Khan Academy for AP/Reg World History and US History Teachers</v>
      </c>
      <c r="C116" s="375" t="s">
        <v>634</v>
      </c>
      <c r="D116" s="374" t="s">
        <v>866</v>
      </c>
      <c r="E116" s="376" t="s">
        <v>874</v>
      </c>
      <c r="F116" s="376" t="s">
        <v>863</v>
      </c>
      <c r="G116" s="377" t="s">
        <v>525</v>
      </c>
      <c r="H116" s="376" t="s">
        <v>875</v>
      </c>
      <c r="I116" s="387"/>
      <c r="J116" s="387"/>
      <c r="K116" s="387"/>
      <c r="L116" s="387"/>
      <c r="M116" s="387"/>
      <c r="N116" s="387"/>
    </row>
    <row r="117">
      <c r="A117" s="380">
        <v>43042.0</v>
      </c>
      <c r="B117" s="484" t="s">
        <v>829</v>
      </c>
      <c r="C117" s="375" t="s">
        <v>517</v>
      </c>
      <c r="D117" s="376" t="s">
        <v>878</v>
      </c>
      <c r="E117" s="376" t="s">
        <v>831</v>
      </c>
      <c r="F117" s="484" t="s">
        <v>832</v>
      </c>
      <c r="G117" s="130"/>
      <c r="H117" s="376" t="s">
        <v>834</v>
      </c>
      <c r="I117" s="387"/>
      <c r="J117" s="387"/>
      <c r="K117" s="387"/>
      <c r="L117" s="387"/>
      <c r="M117" s="387"/>
      <c r="N117" s="387"/>
    </row>
    <row r="118">
      <c r="A118" s="380">
        <v>43042.0</v>
      </c>
      <c r="B118" s="378" t="str">
        <f>HYPERLINK("https://nycdoe-my.sharepoint.com/personal/nschepi_schools_nyc_gov/_layouts/15/guestaccess.aspx?folderid=0d41c834e3d62419195aeba5b4bda8709&amp;authkey=AeZr6ag6xwE_hnzKD4EiFhk","Apple &amp; Windows Imaging")</f>
        <v>Apple &amp; Windows Imaging</v>
      </c>
      <c r="C118" s="375" t="str">
        <f>HYPERLINK("https://www.surveygizmo.com/s3/2325967/SPOC-PD-Registration","Register here")</f>
        <v>Register here</v>
      </c>
      <c r="D118" s="376" t="s">
        <v>828</v>
      </c>
      <c r="E118" s="376" t="s">
        <v>539</v>
      </c>
      <c r="F118" s="397" t="s">
        <v>116</v>
      </c>
      <c r="G118" s="377" t="s">
        <v>525</v>
      </c>
      <c r="H118" s="376" t="s">
        <v>574</v>
      </c>
      <c r="I118" s="387"/>
      <c r="J118" s="387"/>
      <c r="K118" s="387"/>
      <c r="L118" s="387"/>
      <c r="M118" s="387"/>
      <c r="N118" s="387"/>
    </row>
    <row r="119">
      <c r="A119" s="380">
        <v>43041.0</v>
      </c>
      <c r="B119" s="378" t="str">
        <f t="shared" ref="B119:B120" si="7">HYPERLINK("https://nycdoe-my.sharepoint.com/personal/ggarcia22_schools_nyc_gov/_layouts/15/guestaccess.aspx?docid=1528d39b0d3ee4e55a1b0ec20482d491c&amp;authkey=Adi689LicyrFmsmMB9R-f6I","Using Khan Academy for HS Math Teachers")</f>
        <v>Using Khan Academy for HS Math Teachers</v>
      </c>
      <c r="C119" s="375" t="s">
        <v>634</v>
      </c>
      <c r="D119" s="374" t="s">
        <v>866</v>
      </c>
      <c r="E119" s="376" t="s">
        <v>642</v>
      </c>
      <c r="F119" s="376" t="s">
        <v>863</v>
      </c>
      <c r="G119" s="377" t="s">
        <v>525</v>
      </c>
      <c r="H119" s="376" t="s">
        <v>864</v>
      </c>
      <c r="I119" s="387"/>
      <c r="J119" s="387"/>
      <c r="K119" s="387"/>
      <c r="L119" s="387"/>
      <c r="M119" s="387"/>
      <c r="N119" s="387"/>
    </row>
    <row r="120">
      <c r="A120" s="380">
        <v>43041.0</v>
      </c>
      <c r="B120" s="378" t="str">
        <f t="shared" si="7"/>
        <v>Using Khan Academy for HS Math Teachers</v>
      </c>
      <c r="C120" s="375" t="s">
        <v>634</v>
      </c>
      <c r="D120" s="374" t="s">
        <v>866</v>
      </c>
      <c r="E120" s="376" t="s">
        <v>415</v>
      </c>
      <c r="F120" s="376" t="s">
        <v>863</v>
      </c>
      <c r="G120" s="377" t="s">
        <v>525</v>
      </c>
      <c r="H120" s="376" t="s">
        <v>864</v>
      </c>
      <c r="I120" s="387"/>
      <c r="J120" s="387"/>
      <c r="K120" s="387"/>
      <c r="L120" s="387"/>
      <c r="M120" s="387"/>
      <c r="N120" s="387"/>
    </row>
    <row r="121">
      <c r="A121" s="380">
        <v>43041.0</v>
      </c>
      <c r="B121" s="378" t="str">
        <f>HYPERLINK("https://docs.google.com/document/d/1qVyvTj33O6uCfKEhJEp5IWJp-aBCJ0BQm_Q0o_l493E/edit","Get Going W/Gsuite and Google Classroom")</f>
        <v>Get Going W/Gsuite and Google Classroom</v>
      </c>
      <c r="C121" s="375" t="str">
        <f>HYPERLINK("https://docs.google.com/forms/d/e/1FAIpQLSfTUXgcf3YycBZM_S7CtHizCB5nPFC-VDW3tW3YALBv-6LeLg/viewform","Register here")</f>
        <v>Register here</v>
      </c>
      <c r="D121" s="376" t="s">
        <v>885</v>
      </c>
      <c r="E121" s="376" t="s">
        <v>539</v>
      </c>
      <c r="F121" s="376" t="s">
        <v>736</v>
      </c>
      <c r="G121" s="377" t="s">
        <v>525</v>
      </c>
      <c r="H121" s="376" t="s">
        <v>782</v>
      </c>
      <c r="I121" s="387"/>
      <c r="J121" s="387"/>
      <c r="K121" s="387"/>
      <c r="L121" s="387"/>
      <c r="M121" s="387"/>
      <c r="N121" s="387"/>
    </row>
    <row r="122">
      <c r="A122" s="380">
        <v>43040.0</v>
      </c>
      <c r="B122" s="378" t="str">
        <f>HYPERLINK("https://nycdoe-my.sharepoint.com/personal/nschepi_schools_nyc_gov/_layouts/15/guestaccess.aspx?folderid=0d41c834e3d62419195aeba5b4bda8709&amp;authkey=AeZr6ag6xwE_hnzKD4EiFhk","Maximize your Existing Bandwidth")</f>
        <v>Maximize your Existing Bandwidth</v>
      </c>
      <c r="C122" s="375" t="str">
        <f t="shared" ref="C122:C123" si="8">HYPERLINK("https://www.surveygizmo.com/s3/2325967/SPOC-PD-Registration","Register here")</f>
        <v>Register here</v>
      </c>
      <c r="D122" s="376" t="s">
        <v>573</v>
      </c>
      <c r="E122" s="376" t="s">
        <v>539</v>
      </c>
      <c r="F122" s="397" t="s">
        <v>116</v>
      </c>
      <c r="G122" s="377" t="s">
        <v>525</v>
      </c>
      <c r="H122" s="376" t="s">
        <v>594</v>
      </c>
      <c r="I122" s="387"/>
      <c r="J122" s="387"/>
      <c r="K122" s="387"/>
      <c r="L122" s="387"/>
      <c r="M122" s="387"/>
      <c r="N122" s="387"/>
    </row>
    <row r="123">
      <c r="A123" s="380">
        <v>43035.0</v>
      </c>
      <c r="B123" s="378" t="str">
        <f>HYPERLINK("https://nycdoe-my.sharepoint.com/personal/nschepi_schools_nyc_gov/_layouts/15/guestaccess.aspx?folderid=0d41c834e3d62419195aeba5b4bda8709&amp;authkey=AeZr6ag6xwE_hnzKD4EiFhk","Computer Support Basics")</f>
        <v>Computer Support Basics</v>
      </c>
      <c r="C123" s="375" t="str">
        <f t="shared" si="8"/>
        <v>Register here</v>
      </c>
      <c r="D123" s="376" t="s">
        <v>592</v>
      </c>
      <c r="E123" s="376" t="s">
        <v>539</v>
      </c>
      <c r="F123" s="397" t="s">
        <v>116</v>
      </c>
      <c r="G123" s="377" t="s">
        <v>525</v>
      </c>
      <c r="H123" s="376" t="s">
        <v>595</v>
      </c>
      <c r="I123" s="387"/>
      <c r="J123" s="387"/>
      <c r="K123" s="387"/>
      <c r="L123" s="387"/>
      <c r="M123" s="387"/>
      <c r="N123" s="387"/>
    </row>
    <row r="124">
      <c r="A124" s="380">
        <v>43035.0</v>
      </c>
      <c r="B124" s="378" t="str">
        <f>HYPERLINK("https://myevents.apple.com/content/events/us_education/us/en/k12macnycdoe-land.html?token=drj2zDP41Q9Q4RQOj_Xi7htSXbxfetGAHu1r3e9ZTvJl_GknirOH340UWLJPHDeepVN9t7twUvMxfs3fz4I64P14xYtUn_O2wJL4K5KMs8c","Deploying Mac in NYCDOE")</f>
        <v>Deploying Mac in NYCDOE</v>
      </c>
      <c r="C124" s="375" t="str">
        <f>HYPERLINK("https://myevents.apple.com/services/public/redirect?token=drj2zDP41Q9Q4RQOj_Xi7gVW8ElftoVuOUGakqpQzLDP7Eiymue11hXgLsz15samrNOy2PCw5dkR-ZWEem_YzXW29cTwMknuEIUSr282mpU","Register here")</f>
        <v>Register here</v>
      </c>
      <c r="D124" s="376" t="s">
        <v>535</v>
      </c>
      <c r="E124" s="376" t="s">
        <v>887</v>
      </c>
      <c r="F124" s="397" t="s">
        <v>536</v>
      </c>
      <c r="G124" s="515"/>
      <c r="H124" s="516" t="s">
        <v>537</v>
      </c>
      <c r="I124" s="517"/>
      <c r="J124" s="517"/>
      <c r="K124" s="517"/>
      <c r="L124" s="517"/>
      <c r="M124" s="517"/>
      <c r="N124" s="517"/>
    </row>
    <row r="125">
      <c r="A125" s="380">
        <v>43035.0</v>
      </c>
      <c r="B125" s="378" t="str">
        <f>HYPERLINK("https://myevents.apple.com/content/events/us_education/us/en/k12ipadnycdoe-land.html?token=0eS6qqntOZZT6la8OxK0UyXzGWgXaq3rXEmbvdnXcmvCBCJEJ1PMOERT7VKYObqg5m3stmZBfNByycS7NDBCoW3Pp7CvGuX-O1jPFKPQkW8","Deploying iOS in NYCDOE")</f>
        <v>Deploying iOS in NYCDOE</v>
      </c>
      <c r="C125" s="375" t="str">
        <f>HYPERLINK("https://myevents.apple.com/content/events/us_education/us/en/k12ipadnycdoe-land/k12ipadnycdoe-rgst.html?token=0eS6qqntOZZT6la8OxK0U63FXgy5-XzZdsif2t5_--3nTr3_kfxEMiULVAeW1cZAj47AnLX3NGBKs6Z286k5fQMj2urM_r9075AP4w7fWy0","Register here")</f>
        <v>Register here</v>
      </c>
      <c r="D125" s="376" t="s">
        <v>535</v>
      </c>
      <c r="E125" s="376" t="s">
        <v>892</v>
      </c>
      <c r="F125" s="397" t="s">
        <v>536</v>
      </c>
      <c r="G125" s="130"/>
      <c r="H125" s="376" t="s">
        <v>538</v>
      </c>
      <c r="I125" s="387"/>
      <c r="J125" s="387"/>
      <c r="K125" s="387"/>
      <c r="L125" s="387"/>
      <c r="M125" s="387"/>
      <c r="N125" s="387"/>
    </row>
    <row r="126">
      <c r="A126" s="519">
        <v>43035.0</v>
      </c>
      <c r="B126" s="476" t="s">
        <v>793</v>
      </c>
      <c r="C126" s="520" t="str">
        <f>HYPERLINK("https://www.eventbrite.com/e/smart-learning-suite-basics-and-smart-iq-tickets-38286330445","Register here")</f>
        <v>Register here</v>
      </c>
      <c r="D126" s="476" t="s">
        <v>893</v>
      </c>
      <c r="E126" s="476" t="s">
        <v>795</v>
      </c>
      <c r="F126" s="478" t="s">
        <v>347</v>
      </c>
      <c r="G126" s="377" t="s">
        <v>525</v>
      </c>
      <c r="H126" s="476" t="s">
        <v>802</v>
      </c>
      <c r="I126" s="479"/>
      <c r="J126" s="479"/>
      <c r="K126" s="479"/>
      <c r="L126" s="479"/>
      <c r="M126" s="479"/>
      <c r="N126" s="479"/>
    </row>
    <row r="127">
      <c r="A127" s="519">
        <v>43035.0</v>
      </c>
      <c r="B127" s="476" t="s">
        <v>803</v>
      </c>
      <c r="C127" s="520" t="str">
        <f>HYPERLINK("https://www.eventbrite.com/e/connecting-chromebooks-to-the-smart-notebook-software-tickets-38286454817","Register here")</f>
        <v>Register here</v>
      </c>
      <c r="D127" s="476" t="s">
        <v>893</v>
      </c>
      <c r="E127" s="476" t="s">
        <v>805</v>
      </c>
      <c r="F127" s="478" t="s">
        <v>347</v>
      </c>
      <c r="G127" s="377" t="s">
        <v>525</v>
      </c>
      <c r="H127" s="476" t="s">
        <v>811</v>
      </c>
      <c r="I127" s="479"/>
      <c r="J127" s="479"/>
      <c r="K127" s="479"/>
      <c r="L127" s="479"/>
      <c r="M127" s="479"/>
      <c r="N127" s="479"/>
    </row>
    <row r="128">
      <c r="A128" s="380">
        <v>43033.0</v>
      </c>
      <c r="B128" s="378" t="str">
        <f>HYPERLINK("https://nycdoe-my.sharepoint.com/personal/nschepi_schools_nyc_gov/_layouts/15/guestaccess.aspx?folderid=0d41c834e3d62419195aeba5b4bda8709&amp;authkey=AeZr6ag6xwE_hnzKD4EiFhk","I'm a SPOC, Now What?")</f>
        <v>I'm a SPOC, Now What?</v>
      </c>
      <c r="C128" s="375" t="str">
        <f>HYPERLINK("https://www.surveygizmo.com/s3/2325967/SPOC-PD-Registration","Register here")</f>
        <v>Register here</v>
      </c>
      <c r="D128" s="376" t="s">
        <v>827</v>
      </c>
      <c r="E128" s="376" t="s">
        <v>539</v>
      </c>
      <c r="F128" s="397" t="s">
        <v>116</v>
      </c>
      <c r="G128" s="377" t="s">
        <v>525</v>
      </c>
      <c r="H128" s="376" t="s">
        <v>645</v>
      </c>
      <c r="I128" s="387"/>
      <c r="J128" s="387"/>
      <c r="K128" s="387"/>
      <c r="L128" s="387"/>
      <c r="M128" s="387"/>
      <c r="N128" s="387"/>
    </row>
    <row r="129">
      <c r="A129" s="380">
        <v>43024.0</v>
      </c>
      <c r="B129" s="378" t="str">
        <f>HYPERLINK("https://docs.google.com/document/d/1qVyvTj33O6uCfKEhJEp5IWJp-aBCJ0BQm_Q0o_l493E/edit","Get Going W/Gsuite and Google Classroom")</f>
        <v>Get Going W/Gsuite and Google Classroom</v>
      </c>
      <c r="C129" s="375" t="str">
        <f>HYPERLINK("https://docs.google.com/forms/d/e/1FAIpQLSfTUXgcf3YycBZM_S7CtHizCB5nPFC-VDW3tW3YALBv-6LeLg/viewform","Register here")</f>
        <v>Register here</v>
      </c>
      <c r="D129" s="376" t="s">
        <v>898</v>
      </c>
      <c r="E129" s="376" t="s">
        <v>539</v>
      </c>
      <c r="F129" s="376" t="s">
        <v>736</v>
      </c>
      <c r="G129" s="377" t="s">
        <v>525</v>
      </c>
      <c r="H129" s="472" t="s">
        <v>782</v>
      </c>
      <c r="I129" s="473"/>
      <c r="J129" s="473"/>
      <c r="K129" s="473"/>
      <c r="L129" s="473"/>
      <c r="M129" s="473"/>
      <c r="N129" s="473"/>
    </row>
    <row r="130">
      <c r="A130" s="380">
        <v>43021.0</v>
      </c>
      <c r="B130" s="378" t="str">
        <f>HYPERLINK("https://nycdoe-my.sharepoint.com/personal/nschepi_schools_nyc_gov/_layouts/15/guestaccess.aspx?folderid=0d41c834e3d62419195aeba5b4bda8709&amp;authkey=AeZr6ag6xwE_hnzKD4EiFhk","Maximize your Existing Bandwidth")</f>
        <v>Maximize your Existing Bandwidth</v>
      </c>
      <c r="C130" s="375" t="str">
        <f>HYPERLINK("https://www.surveygizmo.com/s3/2325967/SPOC-PD-Registration","Register here")</f>
        <v>Register here</v>
      </c>
      <c r="D130" s="376" t="s">
        <v>828</v>
      </c>
      <c r="E130" s="376" t="s">
        <v>539</v>
      </c>
      <c r="F130" s="397" t="s">
        <v>116</v>
      </c>
      <c r="G130" s="471" t="s">
        <v>525</v>
      </c>
      <c r="H130" s="472" t="s">
        <v>594</v>
      </c>
      <c r="I130" s="473"/>
      <c r="J130" s="473"/>
      <c r="K130" s="473"/>
      <c r="L130" s="473"/>
      <c r="M130" s="473"/>
      <c r="N130" s="473"/>
    </row>
    <row r="131">
      <c r="A131" s="521">
        <v>43020.0</v>
      </c>
      <c r="B131" s="522" t="str">
        <f>HYPERLINK("https://www.eventbrite.com/e/makerbot-3d-printing-networking-for-nycdoe-educators-tickets-37077593079","MakerBot 3D Printing Introduction")</f>
        <v>MakerBot 3D Printing Introduction</v>
      </c>
      <c r="C131" s="442" t="s">
        <v>517</v>
      </c>
      <c r="D131" s="218" t="s">
        <v>908</v>
      </c>
      <c r="E131" s="218" t="s">
        <v>909</v>
      </c>
      <c r="F131" s="523" t="s">
        <v>832</v>
      </c>
      <c r="G131" s="524"/>
      <c r="H131" s="525" t="s">
        <v>917</v>
      </c>
      <c r="I131" s="526"/>
      <c r="J131" s="526"/>
      <c r="K131" s="526"/>
      <c r="L131" s="526"/>
      <c r="M131" s="526"/>
      <c r="N131" s="526"/>
    </row>
    <row r="132">
      <c r="A132" s="380">
        <v>43019.0</v>
      </c>
      <c r="B132" s="378" t="str">
        <f>HYPERLINK("https://nycdoe-my.sharepoint.com/personal/nschepi_schools_nyc_gov/_layouts/15/guestaccess.aspx?folderid=0d41c834e3d62419195aeba5b4bda8709&amp;authkey=AeZr6ag6xwE_hnzKD4EiFhk","Apple &amp; Windows Imaging")</f>
        <v>Apple &amp; Windows Imaging</v>
      </c>
      <c r="C132" s="375" t="str">
        <f>HYPERLINK("https://www.surveygizmo.com/s3/2325967/SPOC-PD-Registration","Register here")</f>
        <v>Register here</v>
      </c>
      <c r="D132" s="376" t="s">
        <v>827</v>
      </c>
      <c r="E132" s="376" t="s">
        <v>539</v>
      </c>
      <c r="F132" s="397" t="s">
        <v>116</v>
      </c>
      <c r="G132" s="471" t="s">
        <v>525</v>
      </c>
      <c r="H132" s="472" t="s">
        <v>574</v>
      </c>
      <c r="I132" s="473"/>
      <c r="J132" s="473"/>
      <c r="K132" s="473"/>
      <c r="L132" s="473"/>
      <c r="M132" s="473"/>
      <c r="N132" s="473"/>
    </row>
    <row r="133">
      <c r="A133" s="380">
        <v>43014.0</v>
      </c>
      <c r="B133" s="378" t="str">
        <f>HYPERLINK("https://docs.google.com/document/d/1qVyvTj33O6uCfKEhJEp5IWJp-aBCJ0BQm_Q0o_l493E/edit","Get Going W/Gsuite and Google Classroom")</f>
        <v>Get Going W/Gsuite and Google Classroom</v>
      </c>
      <c r="C133" s="375" t="str">
        <f>HYPERLINK("https://docs.google.com/forms/d/e/1FAIpQLSfTUXgcf3YycBZM_S7CtHizCB5nPFC-VDW3tW3YALBv-6LeLg/viewform","Register here")</f>
        <v>Register here</v>
      </c>
      <c r="D133" s="376" t="s">
        <v>735</v>
      </c>
      <c r="E133" s="376" t="s">
        <v>539</v>
      </c>
      <c r="F133" s="376" t="s">
        <v>736</v>
      </c>
      <c r="G133" s="471" t="s">
        <v>525</v>
      </c>
      <c r="H133" s="472" t="s">
        <v>782</v>
      </c>
      <c r="I133" s="473"/>
      <c r="J133" s="473"/>
      <c r="K133" s="473"/>
      <c r="L133" s="473"/>
      <c r="M133" s="473"/>
      <c r="N133" s="473"/>
    </row>
    <row r="134">
      <c r="A134" s="380">
        <v>43014.0</v>
      </c>
      <c r="B134" s="484" t="s">
        <v>829</v>
      </c>
      <c r="C134" s="375" t="s">
        <v>517</v>
      </c>
      <c r="D134" s="376" t="s">
        <v>924</v>
      </c>
      <c r="E134" s="376" t="s">
        <v>831</v>
      </c>
      <c r="F134" s="484" t="s">
        <v>832</v>
      </c>
      <c r="G134" s="472"/>
      <c r="H134" s="472" t="s">
        <v>834</v>
      </c>
      <c r="I134" s="473"/>
      <c r="J134" s="473"/>
      <c r="K134" s="473"/>
      <c r="L134" s="473"/>
      <c r="M134" s="473"/>
      <c r="N134" s="473"/>
    </row>
    <row r="135">
      <c r="A135" s="527">
        <v>43007.0</v>
      </c>
      <c r="B135" s="70" t="s">
        <v>793</v>
      </c>
      <c r="C135" s="528" t="s">
        <v>925</v>
      </c>
      <c r="D135" s="70" t="s">
        <v>930</v>
      </c>
      <c r="E135" s="70" t="s">
        <v>795</v>
      </c>
      <c r="F135" s="529" t="s">
        <v>347</v>
      </c>
      <c r="G135" s="530"/>
      <c r="H135" s="530" t="s">
        <v>934</v>
      </c>
      <c r="I135" s="531"/>
      <c r="J135" s="531"/>
      <c r="K135" s="531"/>
      <c r="L135" s="531"/>
      <c r="M135" s="531"/>
      <c r="N135" s="531"/>
    </row>
    <row r="136">
      <c r="A136" s="527">
        <v>43007.0</v>
      </c>
      <c r="B136" s="70" t="s">
        <v>803</v>
      </c>
      <c r="C136" s="528" t="str">
        <f>HYPERLINK("https://www.eventbrite.com/e/connecting-chromebooks-to-the-smart-notebook-software-tickets-37823759884","Register here")</f>
        <v>Register here</v>
      </c>
      <c r="D136" s="70" t="s">
        <v>930</v>
      </c>
      <c r="E136" s="70" t="s">
        <v>937</v>
      </c>
      <c r="F136" s="529" t="s">
        <v>347</v>
      </c>
      <c r="G136" s="530"/>
      <c r="H136" s="531" t="s">
        <v>941</v>
      </c>
      <c r="I136" s="531"/>
      <c r="J136" s="531"/>
      <c r="K136" s="531"/>
      <c r="L136" s="531"/>
      <c r="M136" s="531"/>
      <c r="N136" s="531"/>
    </row>
    <row r="137">
      <c r="A137" s="527">
        <v>43007.0</v>
      </c>
      <c r="B137" s="70" t="s">
        <v>942</v>
      </c>
      <c r="C137" s="528" t="str">
        <f>HYPERLINK("https://www.eventbrite.com/e/3d-printing-lessons-and-resources-tickets-37810776049","Register here")</f>
        <v>Register here</v>
      </c>
      <c r="D137" s="70" t="s">
        <v>943</v>
      </c>
      <c r="E137" s="70" t="s">
        <v>944</v>
      </c>
      <c r="F137" s="70" t="s">
        <v>945</v>
      </c>
      <c r="G137" s="530"/>
      <c r="H137" s="530" t="s">
        <v>946</v>
      </c>
      <c r="I137" s="531"/>
      <c r="J137" s="531"/>
      <c r="K137" s="531"/>
      <c r="L137" s="531"/>
      <c r="M137" s="531"/>
      <c r="N137" s="531"/>
    </row>
    <row r="138">
      <c r="A138" s="527">
        <v>43007.0</v>
      </c>
      <c r="B138" s="70" t="s">
        <v>947</v>
      </c>
      <c r="C138" s="528" t="str">
        <f>HYPERLINK("https://www.eventbrite.com/e/start-building-grow-your-3d-design-skills-tickets-37812747947","Register here")</f>
        <v>Register here</v>
      </c>
      <c r="D138" s="70" t="s">
        <v>943</v>
      </c>
      <c r="E138" s="70" t="s">
        <v>948</v>
      </c>
      <c r="F138" s="70" t="s">
        <v>945</v>
      </c>
      <c r="G138" s="530"/>
      <c r="H138" s="530" t="s">
        <v>949</v>
      </c>
      <c r="I138" s="531"/>
      <c r="J138" s="531"/>
      <c r="K138" s="531"/>
      <c r="L138" s="531"/>
      <c r="M138" s="531"/>
      <c r="N138" s="531"/>
    </row>
    <row r="139">
      <c r="A139" s="527">
        <v>43007.0</v>
      </c>
      <c r="B139" s="535" t="s">
        <v>951</v>
      </c>
      <c r="C139" s="528" t="str">
        <f>HYPERLINK("https://www.eventbrite.com/e/the-3d-printing-ecosystem-tickets-37813329687","Register here")</f>
        <v>Register here</v>
      </c>
      <c r="D139" s="70" t="s">
        <v>943</v>
      </c>
      <c r="E139" s="70" t="s">
        <v>952</v>
      </c>
      <c r="F139" s="70" t="s">
        <v>945</v>
      </c>
      <c r="G139" s="530"/>
      <c r="H139" s="530" t="s">
        <v>953</v>
      </c>
      <c r="I139" s="531"/>
      <c r="J139" s="531"/>
      <c r="K139" s="531"/>
      <c r="L139" s="531"/>
      <c r="M139" s="531"/>
      <c r="N139" s="531"/>
    </row>
    <row r="140">
      <c r="A140" s="536">
        <v>42979.0</v>
      </c>
      <c r="B140" s="529" t="s">
        <v>829</v>
      </c>
      <c r="C140" s="537" t="s">
        <v>517</v>
      </c>
      <c r="D140" s="70" t="s">
        <v>954</v>
      </c>
      <c r="E140" s="70" t="s">
        <v>955</v>
      </c>
      <c r="F140" s="538" t="s">
        <v>832</v>
      </c>
      <c r="G140" s="70"/>
      <c r="H140" s="70" t="s">
        <v>834</v>
      </c>
      <c r="I140" s="539"/>
      <c r="J140" s="539"/>
      <c r="K140" s="539"/>
      <c r="L140" s="539"/>
      <c r="M140" s="539"/>
      <c r="N140" s="539"/>
    </row>
    <row r="141" ht="48.75" customHeight="1">
      <c r="A141" s="540">
        <v>43283.6300734838</v>
      </c>
      <c r="B141" s="541" t="s">
        <v>956</v>
      </c>
      <c r="C141" s="541" t="s">
        <v>957</v>
      </c>
      <c r="D141" s="541" t="s">
        <v>958</v>
      </c>
      <c r="E141" s="542">
        <v>43312.0</v>
      </c>
      <c r="F141" s="541" t="s">
        <v>959</v>
      </c>
      <c r="G141" s="543" t="s">
        <v>960</v>
      </c>
      <c r="H141" s="541" t="s">
        <v>961</v>
      </c>
      <c r="I141" s="541" t="s">
        <v>962</v>
      </c>
      <c r="J141" s="541" t="s">
        <v>963</v>
      </c>
      <c r="K141" s="541" t="s">
        <v>295</v>
      </c>
      <c r="L141" s="543" t="s">
        <v>964</v>
      </c>
      <c r="M141" s="545" t="s">
        <v>221</v>
      </c>
      <c r="N141" s="541" t="s">
        <v>967</v>
      </c>
    </row>
  </sheetData>
  <hyperlinks>
    <hyperlink r:id="rId1" ref="C3"/>
    <hyperlink r:id="rId2" ref="F83"/>
    <hyperlink r:id="rId3" ref="F84"/>
    <hyperlink r:id="rId4" ref="F90"/>
    <hyperlink r:id="rId5" ref="F91"/>
    <hyperlink r:id="rId6" ref="F92"/>
    <hyperlink r:id="rId7" ref="F93"/>
    <hyperlink r:id="rId8" ref="B99"/>
    <hyperlink r:id="rId9" ref="F99"/>
    <hyperlink r:id="rId10" ref="F105"/>
    <hyperlink r:id="rId11" ref="F106"/>
    <hyperlink r:id="rId12" ref="F107"/>
    <hyperlink r:id="rId13" ref="F108"/>
    <hyperlink r:id="rId14" ref="B117"/>
    <hyperlink r:id="rId15" ref="F117"/>
    <hyperlink r:id="rId16" ref="F126"/>
    <hyperlink r:id="rId17" ref="F127"/>
    <hyperlink r:id="rId18" ref="F131"/>
    <hyperlink r:id="rId19" ref="B134"/>
    <hyperlink r:id="rId20" ref="F134"/>
    <hyperlink r:id="rId21" ref="C135"/>
    <hyperlink r:id="rId22" ref="F135"/>
    <hyperlink r:id="rId23" ref="F136"/>
    <hyperlink r:id="rId24" ref="B140"/>
    <hyperlink r:id="rId25" ref="F140"/>
    <hyperlink r:id="rId26" ref="G141"/>
    <hyperlink r:id="rId27" ref="L141"/>
  </hyperlinks>
  <drawing r:id="rId28"/>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6.43"/>
    <col customWidth="1" min="2" max="2" width="21.14"/>
    <col customWidth="1" min="4" max="4" width="44.71"/>
    <col customWidth="1" min="5" max="5" width="13.57"/>
    <col customWidth="1" min="7" max="7" width="10.71"/>
  </cols>
  <sheetData>
    <row r="1">
      <c r="A1" s="393" t="s">
        <v>542</v>
      </c>
      <c r="B1" s="394" t="s">
        <v>543</v>
      </c>
      <c r="C1" s="395" t="s">
        <v>547</v>
      </c>
      <c r="D1" s="395" t="s">
        <v>3</v>
      </c>
      <c r="E1" s="393" t="s">
        <v>203</v>
      </c>
      <c r="F1" s="395" t="s">
        <v>13</v>
      </c>
      <c r="G1" s="393" t="s">
        <v>548</v>
      </c>
    </row>
    <row r="2">
      <c r="A2" s="396">
        <v>42297.0</v>
      </c>
      <c r="B2" s="398" t="str">
        <f>HYPERLINK("http://cs-first.com","Get Going with Google’s CS First")</f>
        <v>Get Going with Google’s CS First</v>
      </c>
      <c r="C2" s="399" t="s">
        <v>553</v>
      </c>
      <c r="D2" s="400" t="s">
        <v>554</v>
      </c>
      <c r="E2" s="400" t="s">
        <v>555</v>
      </c>
      <c r="F2" s="400" t="s">
        <v>556</v>
      </c>
      <c r="G2" s="400" t="s">
        <v>49</v>
      </c>
    </row>
    <row r="3">
      <c r="A3" s="401">
        <v>42016.0</v>
      </c>
      <c r="B3" s="403" t="str">
        <f t="shared" ref="B3:B4" si="1">HYPERLINK("https://sites.google.com/a/projectrecess.org/gafe-pd-get-going-next-steps-8-26/","Get Going with Google Apps for Education (GAFE) + Google Classroom")</f>
        <v>Get Going with Google Apps for Education (GAFE) + Google Classroom</v>
      </c>
      <c r="C3" s="405" t="str">
        <f t="shared" ref="C3:C6" si="2">HYPERLINK("https://www.surveygizmo.com/s3/2421456/Google-classes","Register Now")</f>
        <v>Register Now</v>
      </c>
      <c r="D3" s="406" t="s">
        <v>557</v>
      </c>
      <c r="E3" s="407" t="str">
        <f>HYPERLINK("https://www.google.com/maps/place/Chelsea+Market+address/data=!4m2!3m1!1s0x0:0x7e61762e972dc0a2?sa=X&amp;ved=0CCsQrwswAWoVChMI_rrzq8CDyQIVCj0-Ch2QtAFq","75th 9th Ave (Chelsea Market) 2nd floor. Atlantic City room.")</f>
        <v>75th 9th Ave (Chelsea Market) 2nd floor. Atlantic City room.</v>
      </c>
      <c r="F3" s="227" t="s">
        <v>558</v>
      </c>
      <c r="G3" s="406" t="s">
        <v>559</v>
      </c>
    </row>
    <row r="4">
      <c r="A4" s="408">
        <v>42430.0</v>
      </c>
      <c r="B4" s="409" t="str">
        <f t="shared" si="1"/>
        <v>Get Going with Google Apps for Education (GAFE) + Google Classroom</v>
      </c>
      <c r="C4" s="410" t="str">
        <f t="shared" si="2"/>
        <v>Register Now</v>
      </c>
      <c r="D4" s="411" t="s">
        <v>557</v>
      </c>
      <c r="E4" s="412" t="s">
        <v>564</v>
      </c>
      <c r="F4" s="400" t="s">
        <v>409</v>
      </c>
      <c r="G4" s="411" t="s">
        <v>559</v>
      </c>
    </row>
    <row r="5">
      <c r="A5" s="408">
        <v>42430.0</v>
      </c>
      <c r="B5" s="405" t="str">
        <f>HYPERLINK("https://docs.google.com/document/d/1DPruLWKBZlprLanlUeONwnnGUQ1iHShC_coqvRL_Vog/edit","Got GAFE + Classroom? Now What.")</f>
        <v>Got GAFE + Classroom? Now What.</v>
      </c>
      <c r="C5" s="410" t="str">
        <f t="shared" si="2"/>
        <v>Register Now</v>
      </c>
      <c r="D5" s="411" t="s">
        <v>557</v>
      </c>
      <c r="E5" s="412" t="s">
        <v>564</v>
      </c>
      <c r="F5" s="400" t="s">
        <v>569</v>
      </c>
      <c r="G5" s="411" t="s">
        <v>559</v>
      </c>
    </row>
    <row r="6">
      <c r="A6" s="413" t="s">
        <v>570</v>
      </c>
      <c r="B6" s="409" t="str">
        <f>HYPERLINK("https://sites.google.com/a/projectrecess.org/gafe-pd-get-going-next-steps-8-26/","Get Going with Google Apps for Education (GAFE) + Google Classroom")</f>
        <v>Get Going with Google Apps for Education (GAFE) + Google Classroom</v>
      </c>
      <c r="C6" s="405" t="str">
        <f t="shared" si="2"/>
        <v>Register Now</v>
      </c>
      <c r="D6" s="411" t="s">
        <v>557</v>
      </c>
      <c r="E6" s="412" t="s">
        <v>564</v>
      </c>
      <c r="F6" s="400" t="s">
        <v>571</v>
      </c>
      <c r="G6" s="411" t="s">
        <v>559</v>
      </c>
    </row>
    <row r="7" ht="66.0" customHeight="1">
      <c r="A7" s="408">
        <v>42468.0</v>
      </c>
      <c r="B7" s="414" t="s">
        <v>572</v>
      </c>
      <c r="C7" s="410" t="str">
        <f t="shared" ref="C7:C13" si="3">HYPERLINK("https://www.surveygizmo.com/s3/2325967/SPOC-PD-Registration","Register Now")</f>
        <v>Register Now</v>
      </c>
      <c r="D7" s="400" t="s">
        <v>578</v>
      </c>
      <c r="E7" s="400" t="s">
        <v>579</v>
      </c>
      <c r="F7" s="400" t="s">
        <v>580</v>
      </c>
      <c r="G7" s="416" t="s">
        <v>581</v>
      </c>
    </row>
    <row r="8" ht="66.0" customHeight="1">
      <c r="A8" s="408">
        <v>42471.0</v>
      </c>
      <c r="B8" s="414" t="s">
        <v>572</v>
      </c>
      <c r="C8" s="410" t="str">
        <f t="shared" si="3"/>
        <v>Register Now</v>
      </c>
      <c r="D8" s="400" t="s">
        <v>578</v>
      </c>
      <c r="E8" s="400" t="s">
        <v>579</v>
      </c>
      <c r="F8" s="400" t="s">
        <v>580</v>
      </c>
      <c r="G8" s="416" t="s">
        <v>581</v>
      </c>
    </row>
    <row r="9" ht="66.0" customHeight="1">
      <c r="A9" s="408">
        <v>42472.0</v>
      </c>
      <c r="B9" s="414" t="s">
        <v>572</v>
      </c>
      <c r="C9" s="410" t="str">
        <f t="shared" si="3"/>
        <v>Register Now</v>
      </c>
      <c r="D9" s="400" t="s">
        <v>578</v>
      </c>
      <c r="E9" s="400" t="s">
        <v>579</v>
      </c>
      <c r="F9" s="400" t="s">
        <v>580</v>
      </c>
      <c r="G9" s="416" t="s">
        <v>581</v>
      </c>
    </row>
    <row r="10">
      <c r="A10" s="418">
        <v>42468.0</v>
      </c>
      <c r="B10" s="419" t="s">
        <v>572</v>
      </c>
      <c r="C10" s="420" t="str">
        <f t="shared" si="3"/>
        <v>Register Now</v>
      </c>
      <c r="D10" s="421" t="s">
        <v>578</v>
      </c>
      <c r="E10" s="421" t="s">
        <v>579</v>
      </c>
      <c r="F10" s="421" t="s">
        <v>580</v>
      </c>
      <c r="G10" s="422" t="s">
        <v>581</v>
      </c>
    </row>
    <row r="11">
      <c r="A11" s="418">
        <v>42471.0</v>
      </c>
      <c r="B11" s="419" t="s">
        <v>572</v>
      </c>
      <c r="C11" s="420" t="str">
        <f t="shared" si="3"/>
        <v>Register Now</v>
      </c>
      <c r="D11" s="421" t="s">
        <v>578</v>
      </c>
      <c r="E11" s="421" t="s">
        <v>579</v>
      </c>
      <c r="F11" s="421" t="s">
        <v>580</v>
      </c>
      <c r="G11" s="422" t="s">
        <v>581</v>
      </c>
    </row>
    <row r="12">
      <c r="A12" s="418">
        <v>42472.0</v>
      </c>
      <c r="B12" s="419" t="s">
        <v>572</v>
      </c>
      <c r="C12" s="420" t="str">
        <f t="shared" si="3"/>
        <v>Register Now</v>
      </c>
      <c r="D12" s="421" t="s">
        <v>578</v>
      </c>
      <c r="E12" s="421" t="s">
        <v>579</v>
      </c>
      <c r="F12" s="421" t="s">
        <v>580</v>
      </c>
      <c r="G12" s="422" t="s">
        <v>581</v>
      </c>
    </row>
    <row r="13">
      <c r="A13" s="418">
        <v>42482.0</v>
      </c>
      <c r="B13" s="419" t="s">
        <v>572</v>
      </c>
      <c r="C13" s="420" t="str">
        <f t="shared" si="3"/>
        <v>Register Now</v>
      </c>
      <c r="D13" s="421" t="s">
        <v>578</v>
      </c>
      <c r="E13" s="421" t="s">
        <v>579</v>
      </c>
      <c r="F13" s="421" t="s">
        <v>580</v>
      </c>
      <c r="G13" s="422" t="s">
        <v>581</v>
      </c>
    </row>
    <row r="14">
      <c r="A14" s="418">
        <v>42500.0</v>
      </c>
      <c r="B14" s="423" t="str">
        <f>HYPERLINK("https://docs.google.com/document/d/1ziJh5YezqlgHnsDWWOhkH8qOL03IetT0kucZIMhwc9c/edit?ts=564cf135","Tech Tools for the iPad Educator")</f>
        <v>Tech Tools for the iPad Educator</v>
      </c>
      <c r="C14" s="420" t="str">
        <f t="shared" ref="C14:C15" si="4">HYPERLINK("https://www.surveygizmo.com/s3/2456714/Professional-Learning-Sign-up","Register Now")</f>
        <v>Register Now</v>
      </c>
      <c r="D14" s="421" t="s">
        <v>590</v>
      </c>
      <c r="E14" s="421" t="s">
        <v>579</v>
      </c>
      <c r="F14" s="421" t="s">
        <v>409</v>
      </c>
      <c r="G14" s="421" t="s">
        <v>591</v>
      </c>
    </row>
    <row r="15">
      <c r="A15" s="418">
        <v>42500.0</v>
      </c>
      <c r="B15" s="423" t="str">
        <f>HYPERLINK("https://docs.google.com/document/d/1ziJh5YezqlgHnsDWWOhkH8qOL03IetT0kucZIMhwc9c/edit?ts=564cf135","Digital Literacy for the iPad Educator")</f>
        <v>Digital Literacy for the iPad Educator</v>
      </c>
      <c r="C15" s="420" t="str">
        <f t="shared" si="4"/>
        <v>Register Now</v>
      </c>
      <c r="D15" s="421" t="s">
        <v>593</v>
      </c>
      <c r="E15" s="421" t="s">
        <v>579</v>
      </c>
      <c r="F15" s="421" t="s">
        <v>444</v>
      </c>
      <c r="G15" s="421" t="s">
        <v>591</v>
      </c>
    </row>
    <row r="16">
      <c r="A16" s="425"/>
      <c r="B16" s="426"/>
      <c r="C16" s="427"/>
      <c r="D16" s="428"/>
      <c r="E16" s="428"/>
      <c r="F16" s="428"/>
      <c r="G16" s="428"/>
    </row>
    <row r="17">
      <c r="A17" s="425"/>
      <c r="B17" s="426"/>
      <c r="C17" s="427"/>
      <c r="D17" s="428"/>
      <c r="E17" s="428"/>
      <c r="F17" s="428"/>
      <c r="G17" s="428"/>
    </row>
    <row r="18">
      <c r="A18" s="425"/>
      <c r="B18" s="426"/>
      <c r="C18" s="427"/>
      <c r="D18" s="428"/>
      <c r="E18" s="428"/>
      <c r="F18" s="428"/>
      <c r="G18" s="428"/>
    </row>
    <row r="19">
      <c r="A19" s="425"/>
      <c r="B19" s="426"/>
      <c r="C19" s="427"/>
      <c r="D19" s="428"/>
      <c r="E19" s="428"/>
      <c r="F19" s="428"/>
      <c r="G19" s="428"/>
    </row>
    <row r="20">
      <c r="A20" s="425"/>
      <c r="B20" s="426"/>
      <c r="C20" s="427"/>
      <c r="D20" s="428"/>
      <c r="E20" s="428"/>
      <c r="F20" s="428"/>
      <c r="G20" s="428"/>
    </row>
    <row r="21">
      <c r="A21" s="425"/>
      <c r="B21" s="426"/>
      <c r="C21" s="427"/>
      <c r="D21" s="428"/>
      <c r="E21" s="428"/>
      <c r="F21" s="428"/>
      <c r="G21" s="428"/>
    </row>
    <row r="22">
      <c r="A22" s="425"/>
      <c r="B22" s="426"/>
      <c r="C22" s="427"/>
      <c r="D22" s="428"/>
      <c r="E22" s="428"/>
      <c r="F22" s="428"/>
      <c r="G22" s="428"/>
    </row>
    <row r="23">
      <c r="A23" s="425"/>
      <c r="B23" s="426"/>
      <c r="C23" s="427"/>
      <c r="D23" s="428"/>
      <c r="E23" s="428"/>
      <c r="F23" s="428"/>
      <c r="G23" s="428"/>
    </row>
    <row r="24">
      <c r="A24" s="425"/>
      <c r="B24" s="426"/>
      <c r="C24" s="427"/>
      <c r="D24" s="428"/>
      <c r="E24" s="428"/>
      <c r="F24" s="428"/>
      <c r="G24" s="428"/>
    </row>
    <row r="25">
      <c r="A25" s="425"/>
      <c r="B25" s="426"/>
      <c r="C25" s="427"/>
      <c r="D25" s="428"/>
      <c r="E25" s="428"/>
      <c r="F25" s="428"/>
      <c r="G25" s="428"/>
    </row>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71"/>
    <col customWidth="1" min="2" max="3" width="13.29"/>
    <col customWidth="1" min="4" max="4" width="45.86"/>
    <col customWidth="1" min="5" max="5" width="13.57"/>
    <col customWidth="1" min="6" max="6" width="12.0"/>
    <col customWidth="1" min="7" max="7" width="11.71"/>
  </cols>
  <sheetData>
    <row r="1">
      <c r="A1" s="393" t="s">
        <v>542</v>
      </c>
      <c r="B1" s="394" t="s">
        <v>543</v>
      </c>
      <c r="C1" s="429" t="s">
        <v>547</v>
      </c>
      <c r="D1" s="395" t="s">
        <v>3</v>
      </c>
      <c r="E1" s="393" t="s">
        <v>203</v>
      </c>
      <c r="F1" s="395" t="s">
        <v>13</v>
      </c>
      <c r="G1" s="393" t="s">
        <v>548</v>
      </c>
    </row>
    <row r="2">
      <c r="A2" s="430">
        <v>42266.0</v>
      </c>
      <c r="B2" s="410" t="str">
        <f>HYPERLINK("https://studio.code.org/","Code.org - Code Studio Workshop  - CS Fundamentals ")</f>
        <v>Code.org - Code Studio Workshop  - CS Fundamentals </v>
      </c>
      <c r="C2" s="431" t="s">
        <v>600</v>
      </c>
      <c r="D2" s="400" t="s">
        <v>602</v>
      </c>
      <c r="E2" s="400" t="s">
        <v>604</v>
      </c>
      <c r="F2" s="400" t="s">
        <v>605</v>
      </c>
      <c r="G2" s="432" t="s">
        <v>607</v>
      </c>
    </row>
    <row r="3">
      <c r="A3" s="433">
        <v>42267.0</v>
      </c>
      <c r="B3" s="434" t="str">
        <f>HYPERLINK("http://www.metmuseum.org/events/programs/met-celebrates/festivals-and-special-programs/metkids-launch-party","#MetKids Launch Party at the Metropolitan Museum of Art")</f>
        <v>#MetKids Launch Party at the Metropolitan Museum of Art</v>
      </c>
      <c r="C3" s="435" t="s">
        <v>609</v>
      </c>
      <c r="D3" s="437" t="s">
        <v>610</v>
      </c>
      <c r="E3" s="437" t="s">
        <v>612</v>
      </c>
      <c r="F3" s="437" t="s">
        <v>613</v>
      </c>
      <c r="G3" s="438" t="s">
        <v>614</v>
      </c>
    </row>
    <row r="4">
      <c r="A4" s="439" t="s">
        <v>615</v>
      </c>
      <c r="B4" s="410" t="str">
        <f>HYPERLINK("https://edseminars.apple.com/event/4Z56S-99VU9","Deploying Mac in the NYCDOE")</f>
        <v>Deploying Mac in the NYCDOE</v>
      </c>
      <c r="C4" s="431" t="s">
        <v>620</v>
      </c>
      <c r="D4" s="400" t="s">
        <v>622</v>
      </c>
      <c r="E4" s="400" t="s">
        <v>623</v>
      </c>
      <c r="F4" s="400" t="s">
        <v>624</v>
      </c>
      <c r="G4" s="439" t="s">
        <v>536</v>
      </c>
    </row>
    <row r="5">
      <c r="A5" s="430">
        <v>42271.0</v>
      </c>
      <c r="B5" s="410" t="str">
        <f>HYPERLINK("https://edseminars.apple.com/event/y69tW-hQ5u5","Deploying iPad in the NYCDOE")</f>
        <v>Deploying iPad in the NYCDOE</v>
      </c>
      <c r="C5" s="431" t="s">
        <v>625</v>
      </c>
      <c r="D5" s="400" t="s">
        <v>626</v>
      </c>
      <c r="E5" s="400" t="s">
        <v>623</v>
      </c>
      <c r="F5" s="400" t="s">
        <v>627</v>
      </c>
      <c r="G5" s="439" t="s">
        <v>536</v>
      </c>
    </row>
    <row r="6">
      <c r="A6" s="430">
        <v>42268.0</v>
      </c>
      <c r="B6" s="410" t="str">
        <f>HYPERLINK("http://www.newvisions.org/pages/microcert-google-apps","Google Apps for Aspiring Administrators")</f>
        <v>Google Apps for Aspiring Administrators</v>
      </c>
      <c r="C6" s="431" t="s">
        <v>628</v>
      </c>
      <c r="D6" s="400" t="s">
        <v>629</v>
      </c>
      <c r="E6" s="400" t="s">
        <v>630</v>
      </c>
      <c r="F6" s="400" t="s">
        <v>631</v>
      </c>
      <c r="G6" s="439" t="s">
        <v>632</v>
      </c>
    </row>
    <row r="7">
      <c r="A7" s="430">
        <v>42280.0</v>
      </c>
      <c r="B7" s="410" t="str">
        <f>HYPERLINK("https://studio.code.org/","Code.org - Code Studio Workshop  - CS Fundamentals ")</f>
        <v>Code.org - Code Studio Workshop  - CS Fundamentals </v>
      </c>
      <c r="C7" s="431" t="s">
        <v>636</v>
      </c>
      <c r="D7" s="400" t="s">
        <v>602</v>
      </c>
      <c r="E7" s="400" t="s">
        <v>639</v>
      </c>
      <c r="F7" s="400" t="s">
        <v>605</v>
      </c>
      <c r="G7" s="432" t="s">
        <v>607</v>
      </c>
    </row>
    <row r="8">
      <c r="A8" s="430">
        <v>42285.0</v>
      </c>
      <c r="B8" s="443" t="str">
        <f>HYPERLINK("https://drive.google.com/file/d/0B9oUXtH7vl_1S0Y1RzNjY1hacHM/view?usp=sharing","DIIT - SPOC Professional Development, Green Course")</f>
        <v>DIIT - SPOC Professional Development, Green Course</v>
      </c>
      <c r="C8" s="444" t="s">
        <v>644</v>
      </c>
      <c r="D8" s="400" t="s">
        <v>647</v>
      </c>
      <c r="E8" s="400" t="s">
        <v>648</v>
      </c>
      <c r="F8" s="400" t="s">
        <v>580</v>
      </c>
      <c r="G8" s="400" t="s">
        <v>649</v>
      </c>
    </row>
    <row r="9">
      <c r="A9" s="396">
        <v>42294.0</v>
      </c>
      <c r="B9" s="410" t="str">
        <f>HYPERLINK("https://studio.code.org/","Code.org - Code Studio Workshop  - CS Fundamentals ")</f>
        <v>Code.org - Code Studio Workshop  - CS Fundamentals </v>
      </c>
      <c r="C9" s="431" t="s">
        <v>653</v>
      </c>
      <c r="D9" s="400" t="s">
        <v>602</v>
      </c>
      <c r="E9" s="400" t="s">
        <v>660</v>
      </c>
      <c r="F9" s="400" t="s">
        <v>605</v>
      </c>
      <c r="G9" s="445" t="s">
        <v>607</v>
      </c>
    </row>
    <row r="10">
      <c r="A10" s="396">
        <v>42297.0</v>
      </c>
      <c r="B10" s="398" t="str">
        <f>HYPERLINK("http://cs-first.com","Get Going with Google’s CS First")</f>
        <v>Get Going with Google’s CS First</v>
      </c>
      <c r="C10" s="431" t="s">
        <v>553</v>
      </c>
      <c r="D10" s="400" t="s">
        <v>554</v>
      </c>
      <c r="E10" s="400" t="s">
        <v>555</v>
      </c>
      <c r="F10" s="400" t="s">
        <v>556</v>
      </c>
      <c r="G10" s="400" t="s">
        <v>49</v>
      </c>
    </row>
    <row r="11">
      <c r="A11" s="396">
        <v>42299.0</v>
      </c>
      <c r="B11" s="398" t="str">
        <f>HYPERLINK("https://drive.google.com/file/d/0B9oUXtH7vl_1cHpROExRVUJMSnc/view?usp=sharing","DIIT SPOC Professional Development Blue Course")</f>
        <v>DIIT SPOC Professional Development Blue Course</v>
      </c>
      <c r="C11" s="444" t="s">
        <v>644</v>
      </c>
      <c r="D11" s="400" t="s">
        <v>668</v>
      </c>
      <c r="E11" s="400" t="s">
        <v>648</v>
      </c>
      <c r="F11" s="400" t="s">
        <v>580</v>
      </c>
      <c r="G11" s="400" t="s">
        <v>649</v>
      </c>
    </row>
    <row r="12">
      <c r="A12" s="408">
        <v>42311.0</v>
      </c>
      <c r="B12" s="70" t="s">
        <v>670</v>
      </c>
      <c r="C12" s="451" t="s">
        <v>671</v>
      </c>
      <c r="D12" s="70" t="s">
        <v>677</v>
      </c>
      <c r="E12" s="70" t="s">
        <v>679</v>
      </c>
      <c r="F12" s="70" t="s">
        <v>680</v>
      </c>
      <c r="G12" s="70" t="s">
        <v>681</v>
      </c>
    </row>
    <row r="13" ht="61.5" customHeight="1">
      <c r="A13" s="408">
        <v>42313.0</v>
      </c>
      <c r="B13" s="398" t="str">
        <f>HYPERLINK("https://drive.google.com/file/d/0B9oUXtH7vl_1QUJveUhKbkpBbXc/view?usp=sharing","DIIT SPOC Professional Development Red Course")</f>
        <v>DIIT SPOC Professional Development Red Course</v>
      </c>
      <c r="C13" s="444" t="s">
        <v>644</v>
      </c>
      <c r="D13" s="400" t="s">
        <v>685</v>
      </c>
      <c r="E13" s="400" t="s">
        <v>648</v>
      </c>
      <c r="F13" s="400" t="s">
        <v>580</v>
      </c>
      <c r="G13" s="400" t="s">
        <v>649</v>
      </c>
    </row>
    <row r="14">
      <c r="A14" s="408">
        <v>42318.0</v>
      </c>
      <c r="B14" s="398" t="str">
        <f>HYPERLINK("http://www.newvisions.org/pages/microcert-google-apps","Google Apps for Aspiring Administrators")</f>
        <v>Google Apps for Aspiring Administrators</v>
      </c>
      <c r="C14" s="453" t="s">
        <v>628</v>
      </c>
      <c r="D14" s="400" t="s">
        <v>629</v>
      </c>
      <c r="E14" s="400" t="s">
        <v>630</v>
      </c>
      <c r="F14" s="400" t="s">
        <v>631</v>
      </c>
      <c r="G14" s="400" t="s">
        <v>632</v>
      </c>
    </row>
    <row r="15" ht="66.0" customHeight="1">
      <c r="A15" s="408">
        <v>42322.0</v>
      </c>
      <c r="B15" s="398" t="str">
        <f>HYPERLINK("https://studio.code.org/","Code.org - Code Studio Workshop  - CS Fundamentals ")</f>
        <v>Code.org - Code Studio Workshop  - CS Fundamentals </v>
      </c>
      <c r="C15" s="453" t="s">
        <v>694</v>
      </c>
      <c r="D15" s="400" t="s">
        <v>602</v>
      </c>
      <c r="E15" s="400" t="s">
        <v>697</v>
      </c>
      <c r="F15" s="400" t="s">
        <v>605</v>
      </c>
      <c r="G15" s="455" t="s">
        <v>607</v>
      </c>
    </row>
    <row r="16" ht="66.0" customHeight="1">
      <c r="A16" s="408">
        <v>42327.0</v>
      </c>
      <c r="B16" s="398" t="str">
        <f>HYPERLINK("https://drive.google.com/file/d/0B9oUXtH7vl_1M3FQa1hKc2M0Rzg/view?usp=sharing","DIIT SPOC Professional Development Purple Course")</f>
        <v>DIIT SPOC Professional Development Purple Course</v>
      </c>
      <c r="C16" s="444" t="s">
        <v>644</v>
      </c>
      <c r="D16" s="400" t="s">
        <v>701</v>
      </c>
      <c r="E16" s="400" t="s">
        <v>648</v>
      </c>
      <c r="F16" s="400" t="s">
        <v>580</v>
      </c>
      <c r="G16" s="400" t="s">
        <v>649</v>
      </c>
    </row>
    <row r="17" ht="90.0" customHeight="1">
      <c r="A17" s="413" t="s">
        <v>570</v>
      </c>
      <c r="B17" s="409" t="str">
        <f>HYPERLINK("https://sites.google.com/a/projectrecess.org/gafe-pd-get-going-next-steps-8-26/","Get Going with Google Apps for Education (GAFE) + Google Classroom")</f>
        <v>Get Going with Google Apps for Education (GAFE) + Google Classroom</v>
      </c>
      <c r="C17" s="456" t="str">
        <f>HYPERLINK("https://www.surveygizmo.com/s3/2421456/Google-classes","Register Now")</f>
        <v>Register Now</v>
      </c>
      <c r="D17" s="411" t="s">
        <v>557</v>
      </c>
      <c r="E17" s="412" t="s">
        <v>564</v>
      </c>
      <c r="F17" s="400" t="s">
        <v>571</v>
      </c>
      <c r="G17" s="411" t="s">
        <v>559</v>
      </c>
    </row>
    <row r="18" ht="66.0" customHeight="1">
      <c r="A18" s="408">
        <v>42340.0</v>
      </c>
      <c r="B18" s="398" t="str">
        <f>HYPERLINK("https://drive.google.com/file/d/0B9oUXtH7vl_1OUliNUFzRGdaQTA/view?usp=sharing","iPad for NYC Educators")</f>
        <v>iPad for NYC Educators</v>
      </c>
      <c r="C18" s="453" t="str">
        <f>HYPERLINK("https://edseminars.apple.com/event/NA8i5-MyVW3","Register Now")</f>
        <v>Register Now</v>
      </c>
      <c r="D18" s="400" t="s">
        <v>705</v>
      </c>
      <c r="E18" s="400" t="s">
        <v>706</v>
      </c>
      <c r="F18" s="400" t="s">
        <v>708</v>
      </c>
      <c r="G18" s="400" t="s">
        <v>536</v>
      </c>
    </row>
    <row r="19">
      <c r="A19" s="408">
        <v>42348.0</v>
      </c>
      <c r="B19" s="398" t="str">
        <f>HYPERLINK("https://drive.google.com/file/d/0B9oUXtH7vl_1TkhBWnduX243UnM/view?usp=sharing","Deploying Mac in the NYC DOE")</f>
        <v>Deploying Mac in the NYC DOE</v>
      </c>
      <c r="C19" s="453" t="str">
        <f>HYPERLINK("https://edseminars.apple.com/event/m67dU-k9u1q","Register Now")</f>
        <v>Register Now</v>
      </c>
      <c r="D19" s="400" t="s">
        <v>711</v>
      </c>
      <c r="E19" s="400" t="s">
        <v>712</v>
      </c>
      <c r="F19" s="400" t="s">
        <v>409</v>
      </c>
      <c r="G19" s="400" t="s">
        <v>536</v>
      </c>
    </row>
    <row r="20">
      <c r="A20" s="408">
        <v>42348.0</v>
      </c>
      <c r="B20" s="398" t="str">
        <f>HYPERLINK("https://drive.google.com/file/d/0B9oUXtH7vl_1OUliNUFzRGdaQTA/view?usp=sharing","Deploying iPad in the NYC DOE")</f>
        <v>Deploying iPad in the NYC DOE</v>
      </c>
      <c r="C20" s="453" t="str">
        <f>HYPERLINK("https://edseminars.apple.com/event/4Pt7m-1aWcm","Register Now")</f>
        <v>Register Now</v>
      </c>
      <c r="D20" s="400" t="s">
        <v>718</v>
      </c>
      <c r="E20" s="400" t="s">
        <v>712</v>
      </c>
      <c r="F20" s="400" t="s">
        <v>444</v>
      </c>
      <c r="G20" s="400" t="s">
        <v>536</v>
      </c>
    </row>
    <row r="21">
      <c r="A21" s="408">
        <v>42348.0</v>
      </c>
      <c r="B21" s="398" t="str">
        <f>HYPERLINK("https://drive.google.com/file/d/0B9oUXtH7vl_1TFNILTZNNGkwVE0/view?usp=sharing","DIIT SPOC Professional Development Orange Course")</f>
        <v>DIIT SPOC Professional Development Orange Course</v>
      </c>
      <c r="C21" s="453" t="s">
        <v>720</v>
      </c>
      <c r="D21" s="400" t="s">
        <v>721</v>
      </c>
      <c r="E21" s="400" t="s">
        <v>648</v>
      </c>
      <c r="F21" s="400" t="s">
        <v>580</v>
      </c>
      <c r="G21" s="400" t="s">
        <v>649</v>
      </c>
    </row>
    <row r="22">
      <c r="A22" s="408">
        <v>42355.0</v>
      </c>
      <c r="B22" s="398" t="str">
        <f>HYPERLINK("https://drive.google.com/file/d/0B9oUXtH7vl_1QUJveUhKbkpBbXc/view?usp=sharing","DIIT SPOC Professional Development Red Course")</f>
        <v>DIIT SPOC Professional Development Red Course</v>
      </c>
      <c r="C22" s="457" t="s">
        <v>720</v>
      </c>
      <c r="D22" s="400" t="s">
        <v>724</v>
      </c>
      <c r="E22" s="400" t="s">
        <v>648</v>
      </c>
      <c r="F22" s="400" t="s">
        <v>580</v>
      </c>
      <c r="G22" s="400" t="s">
        <v>649</v>
      </c>
    </row>
    <row r="23">
      <c r="A23" s="408">
        <v>42376.0</v>
      </c>
      <c r="B23" s="398" t="str">
        <f>HYPERLINK("https://drive.google.com/file/d/0B9oUXtH7vl_1a2ZHTHhQUDhlWUE/view?usp=sharing","DIIT SPOC Professional Development Grey Course")</f>
        <v>DIIT SPOC Professional Development Grey Course</v>
      </c>
      <c r="C23" s="453" t="str">
        <f>HYPERLINK("https://www.surveygizmo.com/s3/2325967/SPOC-PD-Registration","Register Now")</f>
        <v>Register Now</v>
      </c>
      <c r="D23" s="400" t="s">
        <v>726</v>
      </c>
      <c r="E23" s="400" t="s">
        <v>648</v>
      </c>
      <c r="F23" s="400" t="s">
        <v>580</v>
      </c>
      <c r="G23" s="400" t="s">
        <v>649</v>
      </c>
    </row>
    <row r="24" ht="66.0" customHeight="1">
      <c r="A24" s="401">
        <v>42016.0</v>
      </c>
      <c r="B24" s="403" t="str">
        <f>HYPERLINK("https://sites.google.com/a/projectrecess.org/gafe-pd-get-going-next-steps-8-26/","Get Going with Google Apps for Education (GAFE) + Google Classroom")</f>
        <v>Get Going with Google Apps for Education (GAFE) + Google Classroom</v>
      </c>
      <c r="C24" s="456" t="str">
        <f>HYPERLINK("https://www.surveygizmo.com/s3/2421456/Google-classes","Register Now")</f>
        <v>Register Now</v>
      </c>
      <c r="D24" s="406" t="s">
        <v>557</v>
      </c>
      <c r="E24" s="407" t="str">
        <f>HYPERLINK("https://www.google.com/maps/place/Chelsea+Market+address/data=!4m2!3m1!1s0x0:0x7e61762e972dc0a2?sa=X&amp;ved=0CCsQrwswAWoVChMI_rrzq8CDyQIVCj0-Ch2QtAFq","75th 9th Ave (Chelsea Market) 2nd floor. Atlantic City room.")</f>
        <v>75th 9th Ave (Chelsea Market) 2nd floor. Atlantic City room.</v>
      </c>
      <c r="F24" s="227" t="s">
        <v>558</v>
      </c>
      <c r="G24" s="406" t="s">
        <v>559</v>
      </c>
    </row>
    <row r="25">
      <c r="A25" s="408">
        <v>42390.0</v>
      </c>
      <c r="B25" s="398" t="str">
        <f>HYPERLINK("https://drive.google.com/file/d/0B9oUXtH7vl_1cHpROExRVUJMSnc/view?usp=sharing","DIIT SPOC Professional Development Blue Course")</f>
        <v>DIIT SPOC Professional Development Blue Course</v>
      </c>
      <c r="C25" s="453" t="str">
        <f>HYPERLINK("https://www.surveygizmo.com/s3/2325967/SPOC-PD-Registration","Register Now")</f>
        <v>Register Now</v>
      </c>
      <c r="D25" s="400" t="s">
        <v>732</v>
      </c>
      <c r="E25" s="400" t="s">
        <v>648</v>
      </c>
      <c r="F25" s="400" t="s">
        <v>580</v>
      </c>
      <c r="G25" s="400" t="s">
        <v>649</v>
      </c>
    </row>
    <row r="26" ht="66.0" customHeight="1">
      <c r="A26" s="408">
        <v>42401.0</v>
      </c>
      <c r="B26" s="398" t="str">
        <f>HYPERLINK("https://docs.google.com/document/d/17TGH6NGE7fjncxjmqSV-oRlVqXprEjagCeF0uqnu9Oc/edit?pref=2&amp;pli=1","Innovation Institute II")</f>
        <v>Innovation Institute II</v>
      </c>
      <c r="C26" s="453" t="str">
        <f>HYPERLINK("https://docs.google.com/forms/d/1kTnboJVQhhvnEQwqb74nFPAi0pQOd6FdllrlG5kIP2I/viewform","Register")</f>
        <v>Register</v>
      </c>
      <c r="D26" s="400" t="s">
        <v>742</v>
      </c>
      <c r="E26" s="400" t="s">
        <v>743</v>
      </c>
      <c r="F26" s="400" t="s">
        <v>744</v>
      </c>
      <c r="G26" s="400" t="s">
        <v>745</v>
      </c>
    </row>
    <row r="27" ht="66.0" customHeight="1">
      <c r="A27" s="408">
        <v>42401.0</v>
      </c>
      <c r="B27" s="398" t="str">
        <f>HYPERLINK("https://docs.google.com/document/d/1CQ_c3FyTrcNrSQFyREX1KNMrd1Yl_MYbeGvRnow2_ww/edit?usp=sharing","Become a Make Believer (How to Start a Maker Space at Your School)")</f>
        <v>Become a Make Believer (How to Start a Maker Space at Your School)</v>
      </c>
      <c r="C27" s="453" t="str">
        <f>HYPERLINK("https://www.surveygizmo.com/s3/2456714/Professional-Learning-Sign-up","Register")</f>
        <v>Register</v>
      </c>
      <c r="D27" s="400" t="s">
        <v>748</v>
      </c>
      <c r="E27" s="400" t="s">
        <v>749</v>
      </c>
      <c r="F27" s="400" t="s">
        <v>424</v>
      </c>
      <c r="G27" s="400" t="s">
        <v>116</v>
      </c>
    </row>
    <row r="28">
      <c r="A28" s="408">
        <v>42404.0</v>
      </c>
      <c r="B28" s="398" t="str">
        <f>HYPERLINK("https://drive.google.com/file/d/0B9oUXtH7vl_1S0Y1RzNjY1hacHM/view?usp=sharing","DIIT - SPOC Professional Development, Green Course")</f>
        <v>DIIT - SPOC Professional Development, Green Course</v>
      </c>
      <c r="C28" s="453" t="str">
        <f>HYPERLINK("https://www.surveygizmo.com/s3/2325967/SPOC-PD-Registration","Register Now")</f>
        <v>Register Now</v>
      </c>
      <c r="D28" s="400" t="s">
        <v>647</v>
      </c>
      <c r="E28" s="400" t="s">
        <v>648</v>
      </c>
      <c r="F28" s="400" t="s">
        <v>580</v>
      </c>
      <c r="G28" s="400" t="s">
        <v>649</v>
      </c>
    </row>
    <row r="29" ht="66.0" customHeight="1">
      <c r="A29" s="408">
        <v>42411.0</v>
      </c>
      <c r="B29" s="460" t="s">
        <v>752</v>
      </c>
      <c r="C29" s="453" t="str">
        <f>HYPERLINK("https://docs.google.com/a/projectrecess.org/forms/d/1NrY_Ltha-P2-PHWOCqCu5B1I0WYu_fN_Zhp53K07mJQ/viewform","Register Now")</f>
        <v>Register Now</v>
      </c>
      <c r="D29" s="383" t="s">
        <v>753</v>
      </c>
      <c r="E29" s="464" t="s">
        <v>754</v>
      </c>
      <c r="F29" s="383" t="s">
        <v>756</v>
      </c>
      <c r="G29" s="460" t="s">
        <v>606</v>
      </c>
    </row>
    <row r="30">
      <c r="A30" s="408">
        <v>42425.0</v>
      </c>
      <c r="B30" s="398" t="str">
        <f>HYPERLINK("https://drive.google.com/file/d/0B9oUXtH7vl_1a2ZHTHhQUDhlWUE/view?usp=sharing","DIIT SPOC Professional Development Grey Course")</f>
        <v>DIIT SPOC Professional Development Grey Course</v>
      </c>
      <c r="C30" s="453" t="str">
        <f>HYPERLINK("https://www.surveygizmo.com/s3/2325967/SPOC-PD-Registration","Register Now")</f>
        <v>Register Now</v>
      </c>
      <c r="D30" s="400" t="s">
        <v>758</v>
      </c>
      <c r="E30" s="400" t="s">
        <v>648</v>
      </c>
      <c r="F30" s="400" t="s">
        <v>580</v>
      </c>
      <c r="G30" s="400" t="s">
        <v>649</v>
      </c>
    </row>
    <row r="31">
      <c r="A31" s="408">
        <v>42427.0</v>
      </c>
      <c r="B31" s="398" t="str">
        <f>HYPERLINK("https://drive.google.com/file/d/0B1T-p0Q4YXdeMFRZTDRGVTN2dHM/view","EdCamp Staten Island")</f>
        <v>EdCamp Staten Island</v>
      </c>
      <c r="C31" s="453" t="str">
        <f>HYPERLINK("https://www.eventbrite.com/e/edcamp-staten-island-tickets-20740232594","Register Now")</f>
        <v>Register Now</v>
      </c>
      <c r="D31" s="400" t="s">
        <v>762</v>
      </c>
      <c r="E31" s="400" t="s">
        <v>763</v>
      </c>
      <c r="F31" s="400" t="s">
        <v>764</v>
      </c>
      <c r="G31" s="400" t="s">
        <v>765</v>
      </c>
    </row>
    <row r="32">
      <c r="A32" s="408">
        <v>42430.0</v>
      </c>
      <c r="B32" s="409" t="str">
        <f>HYPERLINK("https://sites.google.com/a/projectrecess.org/gafe-pd-get-going-next-steps-8-26/","Get Going with Google Apps for Education (GAFE) + Google Classroom")</f>
        <v>Get Going with Google Apps for Education (GAFE) + Google Classroom</v>
      </c>
      <c r="C32" s="453" t="str">
        <f t="shared" ref="C32:C33" si="1">HYPERLINK("https://www.surveygizmo.com/s3/2421456/Google-classes","Register Now")</f>
        <v>Register Now</v>
      </c>
      <c r="D32" s="411" t="s">
        <v>557</v>
      </c>
      <c r="E32" s="412" t="s">
        <v>564</v>
      </c>
      <c r="F32" s="400" t="s">
        <v>409</v>
      </c>
      <c r="G32" s="411" t="s">
        <v>559</v>
      </c>
    </row>
    <row r="33">
      <c r="A33" s="408">
        <v>42430.0</v>
      </c>
      <c r="B33" s="405" t="str">
        <f>HYPERLINK("https://docs.google.com/document/d/1DPruLWKBZlprLanlUeONwnnGUQ1iHShC_coqvRL_Vog/edit","Got GAFE + Classroom? Now What.")</f>
        <v>Got GAFE + Classroom? Now What.</v>
      </c>
      <c r="C33" s="453" t="str">
        <f t="shared" si="1"/>
        <v>Register Now</v>
      </c>
      <c r="D33" s="411" t="s">
        <v>557</v>
      </c>
      <c r="E33" s="412" t="s">
        <v>564</v>
      </c>
      <c r="F33" s="400" t="s">
        <v>569</v>
      </c>
      <c r="G33" s="411" t="s">
        <v>559</v>
      </c>
    </row>
    <row r="34">
      <c r="A34" s="408">
        <v>42432.0</v>
      </c>
      <c r="B34" s="398" t="str">
        <f>HYPERLINK("https://drive.google.com/file/d/0B9oUXtH7vl_1TFNILTZNNGkwVE0/view?usp=sharing","DIIT SPOC Professional Development Orange Course")</f>
        <v>DIIT SPOC Professional Development Orange Course</v>
      </c>
      <c r="C34" s="453" t="str">
        <f>HYPERLINK("https://www.surveygizmo.com/s3/2325967/SPOC-PD-Registration","Register Now")</f>
        <v>Register Now</v>
      </c>
      <c r="D34" s="400" t="s">
        <v>772</v>
      </c>
      <c r="E34" s="400" t="s">
        <v>648</v>
      </c>
      <c r="F34" s="400" t="s">
        <v>580</v>
      </c>
      <c r="G34" s="400" t="s">
        <v>649</v>
      </c>
    </row>
    <row r="35">
      <c r="A35" s="408">
        <v>42438.0</v>
      </c>
      <c r="B35" s="398" t="str">
        <f>HYPERLINK("https://code.org/professional-development-workshops/5514260","Code Studio workshop ")</f>
        <v>Code Studio workshop </v>
      </c>
      <c r="C35" s="470" t="str">
        <f>HYPERLINK("https://code.org/professional-development-workshops/5514260","Register Now")</f>
        <v>Register Now</v>
      </c>
      <c r="D35" s="400" t="s">
        <v>778</v>
      </c>
      <c r="E35" s="400" t="s">
        <v>779</v>
      </c>
      <c r="F35" s="400" t="s">
        <v>780</v>
      </c>
      <c r="G35" s="455" t="s">
        <v>781</v>
      </c>
    </row>
    <row r="36">
      <c r="A36" s="408">
        <v>42442.0</v>
      </c>
      <c r="B36" s="414" t="s">
        <v>783</v>
      </c>
      <c r="C36" s="453" t="str">
        <f>HYPERLINK("https://www.facebook.com/events/1695650594025660/","Register Now")</f>
        <v>Register Now</v>
      </c>
      <c r="D36" s="400" t="s">
        <v>785</v>
      </c>
      <c r="E36" s="400" t="s">
        <v>786</v>
      </c>
      <c r="F36" s="400" t="s">
        <v>787</v>
      </c>
      <c r="G36" s="474" t="str">
        <f>HYPERLINK("www.thecodingspace.com﻿","The Coding Space")</f>
        <v>The Coding Space</v>
      </c>
    </row>
    <row r="37">
      <c r="A37" s="408">
        <v>42445.0</v>
      </c>
      <c r="B37" s="414" t="s">
        <v>789</v>
      </c>
      <c r="C37" s="453" t="str">
        <f>HYPERLINK("https://www.surveygizmo.com/s3/2651255/Technology-Leadership-Professional-Learning","Join the mailing list ")</f>
        <v>Join the mailing list </v>
      </c>
      <c r="D37" s="400" t="s">
        <v>790</v>
      </c>
      <c r="E37" s="400" t="s">
        <v>579</v>
      </c>
      <c r="F37" s="400" t="s">
        <v>791</v>
      </c>
      <c r="G37" s="400" t="s">
        <v>792</v>
      </c>
    </row>
    <row r="38">
      <c r="A38" s="408">
        <v>42446.0</v>
      </c>
      <c r="B38" s="398" t="str">
        <f>HYPERLINK("https://drive.google.com/file/d/0B9oUXtH7vl_1ekZ4U1ZsTHhhVHM/view?usp=sharing","DIIT SPOC Professional Development Purple Course")</f>
        <v>DIIT SPOC Professional Development Purple Course</v>
      </c>
      <c r="C38" s="453" t="str">
        <f>HYPERLINK("https://www.surveygizmo.com/s3/2325967/SPOC-PD-Registration","Register Now")</f>
        <v>Register Now</v>
      </c>
      <c r="D38" s="400" t="s">
        <v>796</v>
      </c>
      <c r="E38" s="400" t="s">
        <v>648</v>
      </c>
      <c r="F38" s="400" t="s">
        <v>580</v>
      </c>
      <c r="G38" s="400" t="s">
        <v>649</v>
      </c>
    </row>
    <row r="39">
      <c r="A39" s="408">
        <v>42459.0</v>
      </c>
      <c r="B39" s="398" t="str">
        <f>HYPERLINK("https://drive.google.com/file/d/0BwWNHzIKnnr6R0EwQTVOdVliZ1k/view?usp=sharing","ASI SPOC Training")</f>
        <v>ASI SPOC Training</v>
      </c>
      <c r="C39" s="453" t="s">
        <v>797</v>
      </c>
      <c r="D39" s="400" t="s">
        <v>798</v>
      </c>
      <c r="E39" s="400" t="s">
        <v>799</v>
      </c>
      <c r="F39" s="400" t="s">
        <v>800</v>
      </c>
      <c r="G39" s="400" t="s">
        <v>801</v>
      </c>
    </row>
    <row r="40">
      <c r="A40" s="408">
        <v>42461.0</v>
      </c>
      <c r="B40" s="414" t="s">
        <v>789</v>
      </c>
      <c r="C40" s="453" t="str">
        <f>HYPERLINK("https://www.surveygizmo.com/s3/2651255/Technology-Leadership-Professional-Learning","This is  opportunity is full.  Please join the mailing list")</f>
        <v>This is  opportunity is full.  Please join the mailing list</v>
      </c>
      <c r="D40" s="400" t="s">
        <v>790</v>
      </c>
      <c r="E40" s="400" t="s">
        <v>579</v>
      </c>
      <c r="F40" s="400" t="s">
        <v>806</v>
      </c>
      <c r="G40" s="400" t="s">
        <v>792</v>
      </c>
    </row>
    <row r="41">
      <c r="A41" s="408">
        <v>42462.0</v>
      </c>
      <c r="B41" s="398" t="str">
        <f>HYPERLINK("https://code.org/professional-development-workshops/5512233","Code Studio workshop ")</f>
        <v>Code Studio workshop </v>
      </c>
      <c r="C41" s="453" t="s">
        <v>807</v>
      </c>
      <c r="D41" s="400" t="s">
        <v>808</v>
      </c>
      <c r="E41" s="400" t="s">
        <v>809</v>
      </c>
      <c r="F41" s="400" t="s">
        <v>810</v>
      </c>
      <c r="G41" s="455" t="s">
        <v>781</v>
      </c>
    </row>
    <row r="42">
      <c r="A42" s="408">
        <v>42466.0</v>
      </c>
      <c r="B42" s="480" t="s">
        <v>814</v>
      </c>
      <c r="C42" s="453" t="str">
        <f>HYPERLINK("https://www.eventbrite.com/e/makerspace-visit-magen-david-yeshiva-hs-tickets-23043170744","Register Now")</f>
        <v>Register Now</v>
      </c>
      <c r="D42" s="400" t="s">
        <v>815</v>
      </c>
      <c r="E42" s="400" t="s">
        <v>816</v>
      </c>
      <c r="F42" s="400" t="s">
        <v>817</v>
      </c>
      <c r="G42" s="474" t="str">
        <f t="shared" ref="G42:G43" si="2">HYPERLINK("http://nycdoe.libguides.com/c.php?g=438491&amp;p=3191173","NYC School Library System")</f>
        <v>NYC School Library System</v>
      </c>
    </row>
    <row r="43">
      <c r="A43" s="408">
        <v>42466.0</v>
      </c>
      <c r="B43" s="480" t="s">
        <v>818</v>
      </c>
      <c r="C43" s="453" t="str">
        <f>HYPERLINK("https://www.eventbrite.com/e/makerspace-visit-ps-7k-abraham-lincoln-tickets-23120739755","Register Now")</f>
        <v>Register Now</v>
      </c>
      <c r="D43" s="400" t="s">
        <v>820</v>
      </c>
      <c r="E43" s="400" t="s">
        <v>821</v>
      </c>
      <c r="F43" s="400" t="s">
        <v>822</v>
      </c>
      <c r="G43" s="474" t="str">
        <f t="shared" si="2"/>
        <v>NYC School Library System</v>
      </c>
    </row>
    <row r="44">
      <c r="A44" s="408">
        <v>42467.0</v>
      </c>
      <c r="B44" s="398" t="str">
        <f>HYPERLINK("https://drive.google.com/file/d/0B9oUXtH7vl_1S0Y1RzNjY1hacHM/view?usp=sharing","DIIT - SPOC Professional Development, Green Course")</f>
        <v>DIIT - SPOC Professional Development, Green Course</v>
      </c>
      <c r="C44" s="453" t="str">
        <f>HYPERLINK("https://www.surveygizmo.com/s3/2325967/SPOC-PD-Registration","Register Now")</f>
        <v>Register Now</v>
      </c>
      <c r="D44" s="400" t="s">
        <v>824</v>
      </c>
      <c r="E44" s="400" t="s">
        <v>648</v>
      </c>
      <c r="F44" s="400" t="s">
        <v>580</v>
      </c>
      <c r="G44" s="400" t="s">
        <v>649</v>
      </c>
    </row>
    <row r="45">
      <c r="A45" s="408">
        <v>42467.0</v>
      </c>
      <c r="B45" s="480" t="s">
        <v>825</v>
      </c>
      <c r="C45" s="453" t="str">
        <f>HYPERLINK("https://www.eventbrite.com/e/makerspace-visit-ps-7k-abraham-lincoln-tickets-23120908259","Register Now")</f>
        <v>Register Now</v>
      </c>
      <c r="D45" s="400" t="s">
        <v>820</v>
      </c>
      <c r="E45" s="400" t="s">
        <v>821</v>
      </c>
      <c r="F45" s="400" t="s">
        <v>822</v>
      </c>
      <c r="G45" s="474" t="str">
        <f>HYPERLINK("http://nycdoe.libguides.com/c.php?g=438491&amp;p=3191173","NYC School Library System")</f>
        <v>NYC School Library System</v>
      </c>
    </row>
    <row r="46">
      <c r="A46" s="408">
        <v>42468.0</v>
      </c>
      <c r="B46" s="398" t="str">
        <f t="shared" ref="B46:B48" si="3">HYPERLINK("https://drive.google.com/file/d/0B9oUXtH7vl_1V2JKNXprTmhST28/view?usp=sharing","Microsoft Office 365 ")</f>
        <v>Microsoft Office 365 </v>
      </c>
      <c r="C46" s="453" t="str">
        <f t="shared" ref="C46:C48" si="4">HYPERLINK("https://www.surveygizmo.com/s3/2325967/SPOC-PD-Registration","Register Now")</f>
        <v>Register Now</v>
      </c>
      <c r="D46" s="474" t="str">
        <f t="shared" ref="D46:D48" si="5">HYPERLINK("https://drive.google.com/file/d/0B9oUXtH7vl_1V2JKNXprTmhST28/view?usp=sharing","Tips &amp; Tricks in using Microsft Office 365")</f>
        <v>Tips &amp; Tricks in using Microsft Office 365</v>
      </c>
      <c r="E46" s="400" t="s">
        <v>579</v>
      </c>
      <c r="F46" s="400" t="s">
        <v>580</v>
      </c>
      <c r="G46" s="416" t="s">
        <v>581</v>
      </c>
    </row>
    <row r="47">
      <c r="A47" s="408">
        <v>42471.0</v>
      </c>
      <c r="B47" s="398" t="str">
        <f t="shared" si="3"/>
        <v>Microsoft Office 365 </v>
      </c>
      <c r="C47" s="453" t="str">
        <f t="shared" si="4"/>
        <v>Register Now</v>
      </c>
      <c r="D47" s="474" t="str">
        <f t="shared" si="5"/>
        <v>Tips &amp; Tricks in using Microsft Office 365</v>
      </c>
      <c r="E47" s="400" t="s">
        <v>579</v>
      </c>
      <c r="F47" s="400" t="s">
        <v>580</v>
      </c>
      <c r="G47" s="416" t="s">
        <v>581</v>
      </c>
    </row>
    <row r="48" ht="66.0" customHeight="1">
      <c r="A48" s="408">
        <v>42472.0</v>
      </c>
      <c r="B48" s="398" t="str">
        <f t="shared" si="3"/>
        <v>Microsoft Office 365 </v>
      </c>
      <c r="C48" s="453" t="str">
        <f t="shared" si="4"/>
        <v>Register Now</v>
      </c>
      <c r="D48" s="474" t="str">
        <f t="shared" si="5"/>
        <v>Tips &amp; Tricks in using Microsft Office 365</v>
      </c>
      <c r="E48" s="400" t="s">
        <v>579</v>
      </c>
      <c r="F48" s="400" t="s">
        <v>580</v>
      </c>
      <c r="G48" s="416" t="s">
        <v>581</v>
      </c>
    </row>
    <row r="49" ht="66.0" customHeight="1">
      <c r="A49" s="481">
        <v>42475.0</v>
      </c>
      <c r="B49" s="482" t="s">
        <v>789</v>
      </c>
      <c r="C49" s="483" t="str">
        <f>HYPERLINK("https://www.surveygizmo.com/s3/2651255/Technology-Leadership-Professional-Learning","Register Now")</f>
        <v>Register Now</v>
      </c>
      <c r="D49" s="485" t="s">
        <v>790</v>
      </c>
      <c r="E49" s="485" t="s">
        <v>579</v>
      </c>
      <c r="F49" s="486" t="s">
        <v>833</v>
      </c>
      <c r="G49" s="485" t="s">
        <v>792</v>
      </c>
    </row>
    <row r="50" ht="66.0" customHeight="1">
      <c r="A50" s="487">
        <v>42481.0</v>
      </c>
      <c r="B50" s="488" t="str">
        <f>HYPERLINK("https://drive.google.com/file/d/0B9oUXtH7vl_1TFNILTZNNGkwVE0/view?usp=sharing","DIIT SPOC Professional Development Orange Course")</f>
        <v>DIIT SPOC Professional Development Orange Course</v>
      </c>
      <c r="C50" s="489" t="str">
        <f>HYPERLINK("https://www.surveygizmo.com/s3/2325967/SPOC-PD-Registration","Register Now")</f>
        <v>Register Now</v>
      </c>
      <c r="D50" s="490" t="s">
        <v>772</v>
      </c>
      <c r="E50" s="490" t="s">
        <v>648</v>
      </c>
      <c r="F50" s="490" t="s">
        <v>580</v>
      </c>
      <c r="G50" s="490" t="s">
        <v>649</v>
      </c>
    </row>
    <row r="51" ht="66.0" customHeight="1">
      <c r="A51" s="487">
        <v>42481.0</v>
      </c>
      <c r="B51" s="488" t="str">
        <f>HYPERLINK("https://drive.google.com/file/d/0BwWNHzIKnnr6WG8zNHI1d0NpeXM/view?usp=sharing","ASI SPOC Training")</f>
        <v>ASI SPOC Training</v>
      </c>
      <c r="C51" s="489" t="s">
        <v>797</v>
      </c>
      <c r="D51" s="490" t="s">
        <v>798</v>
      </c>
      <c r="E51" s="490" t="s">
        <v>799</v>
      </c>
      <c r="F51" s="490" t="s">
        <v>800</v>
      </c>
      <c r="G51" s="490" t="s">
        <v>801</v>
      </c>
    </row>
    <row r="52" ht="66.0" customHeight="1">
      <c r="A52" s="487">
        <v>42482.0</v>
      </c>
      <c r="B52" s="488" t="str">
        <f>HYPERLINK("https://code.org/professional-development-workshops/5514305","Code Studio workshop ")</f>
        <v>Code Studio workshop </v>
      </c>
      <c r="C52" s="491" t="str">
        <f>HYPERLINK("https://code.org/professional-development-workshops/5514305","Register Now")</f>
        <v>Register Now</v>
      </c>
      <c r="D52" s="490" t="s">
        <v>778</v>
      </c>
      <c r="E52" s="490" t="s">
        <v>779</v>
      </c>
      <c r="F52" s="490" t="s">
        <v>780</v>
      </c>
      <c r="G52" s="492" t="s">
        <v>781</v>
      </c>
    </row>
    <row r="53" ht="66.0" customHeight="1">
      <c r="A53" s="487">
        <v>42482.0</v>
      </c>
      <c r="B53" s="488" t="str">
        <f>HYPERLINK("https://drive.google.com/file/d/0B9oUXtH7vl_1V2JKNXprTmhST28/view?usp=sharing","Microsoft Office 365 ")</f>
        <v>Microsoft Office 365 </v>
      </c>
      <c r="C53" s="489" t="str">
        <f t="shared" ref="C53:C54" si="6">HYPERLINK("https://www.surveygizmo.com/s3/2325967/SPOC-PD-Registration","Register Now")</f>
        <v>Register Now</v>
      </c>
      <c r="D53" s="493" t="str">
        <f>HYPERLINK("https://drive.google.com/file/d/0B9oUXtH7vl_1V2JKNXprTmhST28/view?usp=sharing","Tips &amp; Tricks in using Microsft Office 365")</f>
        <v>Tips &amp; Tricks in using Microsft Office 365</v>
      </c>
      <c r="E53" s="490" t="s">
        <v>579</v>
      </c>
      <c r="F53" s="490" t="s">
        <v>580</v>
      </c>
      <c r="G53" s="494" t="s">
        <v>581</v>
      </c>
    </row>
    <row r="54">
      <c r="A54" s="487">
        <v>42495.0</v>
      </c>
      <c r="B54" s="488" t="str">
        <f>HYPERLINK("https://drive.google.com/file/d/0B9oUXtH7vl_1ekZ4U1ZsTHhhVHM/view?usp=sharing","DIIT SPOC Professional Development Purple Course")</f>
        <v>DIIT SPOC Professional Development Purple Course</v>
      </c>
      <c r="C54" s="489" t="str">
        <f t="shared" si="6"/>
        <v>Register Now</v>
      </c>
      <c r="D54" s="490" t="s">
        <v>796</v>
      </c>
      <c r="E54" s="490" t="s">
        <v>648</v>
      </c>
      <c r="F54" s="490" t="s">
        <v>580</v>
      </c>
      <c r="G54" s="490" t="s">
        <v>649</v>
      </c>
    </row>
    <row r="55">
      <c r="A55" s="487">
        <v>42496.0</v>
      </c>
      <c r="B55" s="495" t="s">
        <v>789</v>
      </c>
      <c r="C55" s="496" t="str">
        <f>HYPERLINK("https://www.surveygizmo.com/s3/2651255/Technology-Leadership-Professional-Learning","Register Now")</f>
        <v>Register Now</v>
      </c>
      <c r="D55" s="497" t="s">
        <v>790</v>
      </c>
      <c r="E55" s="497" t="s">
        <v>579</v>
      </c>
      <c r="F55" s="498" t="s">
        <v>833</v>
      </c>
      <c r="G55" s="497" t="s">
        <v>792</v>
      </c>
    </row>
    <row r="56">
      <c r="A56" s="487">
        <v>42501.0</v>
      </c>
      <c r="B56" s="488" t="str">
        <f>HYPERLINK("https://code.org/professional-development-workshops/5514266","Code Studio workshop ")</f>
        <v>Code Studio workshop </v>
      </c>
      <c r="C56" s="489" t="str">
        <f>HYPERLINK("https://code.org/professional-development-workshops/5514266","Register Now")</f>
        <v>Register Now</v>
      </c>
      <c r="D56" s="499" t="s">
        <v>778</v>
      </c>
      <c r="E56" s="490" t="s">
        <v>779</v>
      </c>
      <c r="F56" s="490" t="s">
        <v>780</v>
      </c>
      <c r="G56" s="492" t="s">
        <v>781</v>
      </c>
    </row>
    <row r="57">
      <c r="A57" s="487">
        <v>42503.0</v>
      </c>
      <c r="B57" s="501" t="s">
        <v>840</v>
      </c>
      <c r="C57" s="489" t="str">
        <f>HYPERLINK("https://www.eventbrite.com/e/makerspace-visit-jhs-216q-tickets-23042003252","Register Now")</f>
        <v>Register Now</v>
      </c>
      <c r="D57" s="499" t="s">
        <v>841</v>
      </c>
      <c r="E57" s="490" t="s">
        <v>842</v>
      </c>
      <c r="F57" s="490" t="s">
        <v>843</v>
      </c>
      <c r="G57" s="493" t="str">
        <f t="shared" ref="G57:G59" si="7">HYPERLINK("http://nycdoe.libguides.com/c.php?g=438491&amp;p=3191173","NYC School Library System")</f>
        <v>NYC School Library System</v>
      </c>
    </row>
    <row r="58">
      <c r="A58" s="487">
        <v>42507.0</v>
      </c>
      <c r="B58" s="501" t="s">
        <v>845</v>
      </c>
      <c r="C58" s="489" t="str">
        <f>HYPERLINK("https://www.eventbrite.com/e/makerspace-visit-mlk-campus-tickets-23042756505","Register Now")</f>
        <v>Register Now</v>
      </c>
      <c r="D58" s="499" t="s">
        <v>846</v>
      </c>
      <c r="E58" s="490" t="s">
        <v>847</v>
      </c>
      <c r="F58" s="490" t="s">
        <v>843</v>
      </c>
      <c r="G58" s="493" t="str">
        <f t="shared" si="7"/>
        <v>NYC School Library System</v>
      </c>
    </row>
    <row r="59" ht="66.0" customHeight="1">
      <c r="A59" s="487">
        <v>42508.0</v>
      </c>
      <c r="B59" s="501" t="s">
        <v>848</v>
      </c>
      <c r="C59" s="489" t="str">
        <f>HYPERLINK("https://www.eventbrite.com/e/makerspace-visit-ps-1x-the-courtlandt-school-tickets-23498866743","Register Now")</f>
        <v>Register Now</v>
      </c>
      <c r="D59" s="499" t="s">
        <v>849</v>
      </c>
      <c r="E59" s="490" t="s">
        <v>850</v>
      </c>
      <c r="F59" s="490" t="s">
        <v>843</v>
      </c>
      <c r="G59" s="493" t="str">
        <f t="shared" si="7"/>
        <v>NYC School Library System</v>
      </c>
    </row>
    <row r="60" ht="66.0" customHeight="1">
      <c r="A60" s="487">
        <v>42509.0</v>
      </c>
      <c r="B60" s="488" t="str">
        <f>HYPERLINK("https://drive.google.com/file/d/0B9oUXtH7vl_1QUJveUhKbkpBbXc/view?usp=sharing","DIIT SPOC Professional Development Red Course")</f>
        <v>DIIT SPOC Professional Development Red Course</v>
      </c>
      <c r="C60" s="453" t="str">
        <f>HYPERLINK("https://www.surveygizmo.com/s3/2325967/SPOC-PD-Registration","Register Now")</f>
        <v>Register Now</v>
      </c>
      <c r="D60" s="499" t="s">
        <v>854</v>
      </c>
      <c r="E60" s="490" t="s">
        <v>648</v>
      </c>
      <c r="F60" s="490" t="s">
        <v>580</v>
      </c>
      <c r="G60" s="490" t="s">
        <v>649</v>
      </c>
    </row>
    <row r="61" ht="66.0" customHeight="1">
      <c r="A61" s="487">
        <v>42511.0</v>
      </c>
      <c r="B61" s="501" t="s">
        <v>855</v>
      </c>
      <c r="C61" s="489" t="str">
        <f>HYPERLINK("https://www.eventbrite.com/e/teacher-led-teaching-common-core-thematic-units-wtechnology-tickets-23923071551","Register Now")</f>
        <v>Register Now</v>
      </c>
      <c r="D61" s="499" t="s">
        <v>858</v>
      </c>
      <c r="E61" s="490" t="s">
        <v>859</v>
      </c>
      <c r="F61" s="490" t="s">
        <v>860</v>
      </c>
      <c r="G61" s="507"/>
    </row>
    <row r="62" ht="66.0" customHeight="1">
      <c r="A62" s="487">
        <v>42513.0</v>
      </c>
      <c r="B62" s="501" t="s">
        <v>814</v>
      </c>
      <c r="C62" s="489" t="str">
        <f>HYPERLINK("https://www.eventbrite.com/e/makerspace-visit-magen-david-yeshiva-hs-tickets-23043366329","Register Now")</f>
        <v>Register Now</v>
      </c>
      <c r="D62" s="499" t="s">
        <v>861</v>
      </c>
      <c r="E62" s="490" t="s">
        <v>862</v>
      </c>
      <c r="F62" s="490" t="s">
        <v>817</v>
      </c>
      <c r="G62" s="493" t="str">
        <f t="shared" ref="G62:G65" si="8">HYPERLINK("http://nycdoe.libguides.com/c.php?g=438491&amp;p=3191173","NYC School Library System")</f>
        <v>NYC School Library System</v>
      </c>
    </row>
    <row r="63">
      <c r="A63" s="487">
        <v>42514.0</v>
      </c>
      <c r="B63" s="501" t="s">
        <v>845</v>
      </c>
      <c r="C63" s="489" t="str">
        <f>HYPERLINK("https://www.eventbrite.com/e/makerspace-visit-mlk-campus-tickets-23042934036","Register Now")</f>
        <v>Register Now</v>
      </c>
      <c r="D63" s="499" t="s">
        <v>846</v>
      </c>
      <c r="E63" s="490" t="s">
        <v>865</v>
      </c>
      <c r="F63" s="490" t="s">
        <v>843</v>
      </c>
      <c r="G63" s="493" t="str">
        <f t="shared" si="8"/>
        <v>NYC School Library System</v>
      </c>
    </row>
    <row r="64" ht="66.0" customHeight="1">
      <c r="A64" s="487">
        <v>42515.0</v>
      </c>
      <c r="B64" s="501" t="s">
        <v>868</v>
      </c>
      <c r="C64" s="489" t="str">
        <f>HYPERLINK("https://www.eventbrite.com/e/makerspace-visit-csi-tickets-23041804658","Register Now")</f>
        <v>Register Now</v>
      </c>
      <c r="D64" s="499" t="s">
        <v>869</v>
      </c>
      <c r="E64" s="490" t="s">
        <v>871</v>
      </c>
      <c r="F64" s="490" t="s">
        <v>872</v>
      </c>
      <c r="G64" s="493" t="str">
        <f t="shared" si="8"/>
        <v>NYC School Library System</v>
      </c>
    </row>
    <row r="65" ht="66.0" customHeight="1">
      <c r="A65" s="487">
        <v>42515.0</v>
      </c>
      <c r="B65" s="501" t="s">
        <v>873</v>
      </c>
      <c r="C65" s="489" t="str">
        <f>HYPERLINK("https://www.eventbrite.com/e/makerspace-visit-ps-1x-the-courtlandt-school-tickets-23502188679","Register Now")</f>
        <v>Register Now</v>
      </c>
      <c r="D65" s="499" t="s">
        <v>849</v>
      </c>
      <c r="E65" s="490" t="s">
        <v>876</v>
      </c>
      <c r="F65" s="490" t="s">
        <v>843</v>
      </c>
      <c r="G65" s="493" t="str">
        <f t="shared" si="8"/>
        <v>NYC School Library System</v>
      </c>
    </row>
    <row r="66" ht="66.0" customHeight="1">
      <c r="A66" s="481">
        <v>42515.0</v>
      </c>
      <c r="B66" s="508" t="s">
        <v>877</v>
      </c>
      <c r="C66" s="509" t="str">
        <f>HYPERLINK("https://www.microsoftevents.com/profile/form/index.cfm?PKformID=0x2242207192","Register Now")</f>
        <v>Register Now</v>
      </c>
      <c r="D66" s="510" t="s">
        <v>879</v>
      </c>
      <c r="E66" s="511" t="s">
        <v>880</v>
      </c>
      <c r="F66" s="511" t="s">
        <v>881</v>
      </c>
      <c r="G66" s="511" t="s">
        <v>52</v>
      </c>
    </row>
    <row r="67" ht="66.0" customHeight="1">
      <c r="A67" s="481">
        <v>42517.0</v>
      </c>
      <c r="B67" s="512" t="str">
        <f t="shared" ref="B67:B68" si="9">HYPERLINK("https://docs.google.com/document/d/1PbplAKdMnOnlpQ2vI8ncjPvMktMqCM6TXP6mP1-Dnf4/edit","Google Classroom 101")</f>
        <v>Google Classroom 101</v>
      </c>
      <c r="C67" s="513" t="str">
        <f t="shared" ref="C67:C68" si="10">HYPERLINK("https://www.surveygizmo.com/s3/2421456/Google-classes","Register Now")</f>
        <v>Register Now</v>
      </c>
      <c r="D67" s="482" t="s">
        <v>882</v>
      </c>
      <c r="E67" s="511" t="s">
        <v>883</v>
      </c>
      <c r="F67" s="511" t="s">
        <v>739</v>
      </c>
      <c r="G67" s="514" t="s">
        <v>884</v>
      </c>
    </row>
    <row r="68" ht="66.0" customHeight="1">
      <c r="A68" s="481">
        <v>42517.0</v>
      </c>
      <c r="B68" s="512" t="str">
        <f t="shared" si="9"/>
        <v>Google Classroom 101</v>
      </c>
      <c r="C68" s="513" t="str">
        <f t="shared" si="10"/>
        <v>Register Now</v>
      </c>
      <c r="D68" s="482" t="s">
        <v>882</v>
      </c>
      <c r="E68" s="511" t="s">
        <v>883</v>
      </c>
      <c r="F68" s="511" t="s">
        <v>886</v>
      </c>
      <c r="G68" s="514" t="s">
        <v>884</v>
      </c>
    </row>
    <row r="69">
      <c r="A69" s="487">
        <v>42522.0</v>
      </c>
      <c r="B69" s="501" t="s">
        <v>868</v>
      </c>
      <c r="C69" s="489" t="str">
        <f>HYPERLINK("https://www.eventbrite.com/e/makerspace-visit-csi-tickets-22751037967","Register Now")</f>
        <v>Register Now</v>
      </c>
      <c r="D69" s="499" t="s">
        <v>869</v>
      </c>
      <c r="E69" s="490" t="s">
        <v>871</v>
      </c>
      <c r="F69" s="490" t="s">
        <v>872</v>
      </c>
      <c r="G69" s="493" t="str">
        <f>HYPERLINK("http://nycdoe.libguides.com/c.php?g=438491&amp;p=3191173","NYC School Library System")</f>
        <v>NYC School Library System</v>
      </c>
    </row>
    <row r="70">
      <c r="A70" s="481">
        <v>42522.0</v>
      </c>
      <c r="B70" s="518" t="s">
        <v>888</v>
      </c>
      <c r="C70" s="509" t="str">
        <f>HYPERLINK("https://www.microsoftevents.com/profile/form/index.cfm?PKformID=0x227032154d","Register Now")</f>
        <v>Register Now</v>
      </c>
      <c r="D70" s="510" t="s">
        <v>889</v>
      </c>
      <c r="E70" s="498" t="s">
        <v>890</v>
      </c>
      <c r="F70" s="511" t="s">
        <v>881</v>
      </c>
      <c r="G70" s="511" t="s">
        <v>52</v>
      </c>
    </row>
    <row r="71">
      <c r="A71" s="481">
        <v>42523.0</v>
      </c>
      <c r="B71" s="518" t="s">
        <v>891</v>
      </c>
      <c r="C71" s="513" t="str">
        <f t="shared" ref="C71:C72" si="11">HYPERLINK("https://www.surveygizmo.com/s3/2421456/Google-classes","Register Now")</f>
        <v>Register Now</v>
      </c>
      <c r="D71" s="482" t="s">
        <v>882</v>
      </c>
      <c r="E71" s="497" t="s">
        <v>579</v>
      </c>
      <c r="F71" s="511" t="s">
        <v>739</v>
      </c>
      <c r="G71" s="514" t="s">
        <v>884</v>
      </c>
    </row>
    <row r="72">
      <c r="A72" s="481">
        <v>42523.0</v>
      </c>
      <c r="B72" s="512" t="str">
        <f>HYPERLINK("https://docs.google.com/document/d/1PbplAKdMnOnlpQ2vI8ncjPvMktMqCM6TXP6mP1-Dnf4/edit","Google Classroom 101")</f>
        <v>Google Classroom 101</v>
      </c>
      <c r="C72" s="513" t="str">
        <f t="shared" si="11"/>
        <v>Register Now</v>
      </c>
      <c r="D72" s="482" t="s">
        <v>882</v>
      </c>
      <c r="E72" s="497" t="s">
        <v>579</v>
      </c>
      <c r="F72" s="511" t="s">
        <v>886</v>
      </c>
      <c r="G72" s="514" t="s">
        <v>884</v>
      </c>
    </row>
    <row r="73">
      <c r="A73" s="487">
        <v>42524.0</v>
      </c>
      <c r="B73" s="501" t="s">
        <v>840</v>
      </c>
      <c r="C73" s="489" t="str">
        <f>HYPERLINK("https://www.eventbrite.com/e/makerspace-visit-jhs-216q-tickets-23042486698","Register Now")</f>
        <v>Register Now</v>
      </c>
      <c r="D73" s="499" t="s">
        <v>841</v>
      </c>
      <c r="E73" s="490" t="s">
        <v>842</v>
      </c>
      <c r="F73" s="490" t="s">
        <v>843</v>
      </c>
      <c r="G73" s="493" t="str">
        <f t="shared" ref="G73:G74" si="12">HYPERLINK("http://nycdoe.libguides.com/c.php?g=438491&amp;p=3191173","NYC School Library System")</f>
        <v>NYC School Library System</v>
      </c>
    </row>
    <row r="74">
      <c r="A74" s="487">
        <v>42524.0</v>
      </c>
      <c r="B74" s="501" t="s">
        <v>894</v>
      </c>
      <c r="C74" s="489" t="str">
        <f>HYPERLINK("https://www.eventbrite.com/e/makerspace-visit-ps-62q-tickets-23044384374","Register Now")</f>
        <v>Register Now</v>
      </c>
      <c r="D74" s="499" t="s">
        <v>895</v>
      </c>
      <c r="E74" s="490" t="s">
        <v>896</v>
      </c>
      <c r="F74" s="490" t="s">
        <v>867</v>
      </c>
      <c r="G74" s="493" t="str">
        <f t="shared" si="12"/>
        <v>NYC School Library System</v>
      </c>
    </row>
    <row r="75">
      <c r="A75" s="487">
        <v>42529.0</v>
      </c>
      <c r="B75" s="501" t="s">
        <v>897</v>
      </c>
      <c r="C75" s="489" t="str">
        <f>HYPERLINK("https://www.eventbrite.com/e/newsela-pro-in-the-classroom-tickets-25064363185","Register Now")</f>
        <v>Register Now</v>
      </c>
      <c r="D75" s="499" t="s">
        <v>899</v>
      </c>
      <c r="E75" s="490" t="s">
        <v>900</v>
      </c>
      <c r="F75" s="490" t="s">
        <v>901</v>
      </c>
      <c r="G75" s="507" t="s">
        <v>88</v>
      </c>
    </row>
    <row r="76">
      <c r="A76" s="487">
        <v>42529.0</v>
      </c>
      <c r="B76" s="501" t="s">
        <v>902</v>
      </c>
      <c r="C76" s="489" t="str">
        <f>HYPERLINK("https://www.microsoftevents.com/profile/form/index.cfm?PKformID=0x22433489ef","Register Now")</f>
        <v>Register Now</v>
      </c>
      <c r="D76" s="499" t="s">
        <v>903</v>
      </c>
      <c r="E76" s="490" t="s">
        <v>904</v>
      </c>
      <c r="F76" s="490" t="s">
        <v>905</v>
      </c>
      <c r="G76" s="507" t="s">
        <v>52</v>
      </c>
    </row>
    <row r="77">
      <c r="A77" s="487">
        <v>42529.0</v>
      </c>
      <c r="B77" s="482" t="s">
        <v>789</v>
      </c>
      <c r="C77" s="483" t="str">
        <f>HYPERLINK("https://www.surveygizmo.com/s3/2651255/Technology-Leadership-Professional-Learning","Register Now")</f>
        <v>Register Now</v>
      </c>
      <c r="D77" s="485" t="s">
        <v>790</v>
      </c>
      <c r="E77" s="486" t="s">
        <v>906</v>
      </c>
      <c r="F77" s="486" t="s">
        <v>907</v>
      </c>
      <c r="G77" s="485" t="s">
        <v>792</v>
      </c>
    </row>
    <row r="78">
      <c r="A78" s="487">
        <v>42530.0</v>
      </c>
      <c r="B78" s="488" t="str">
        <f>HYPERLINK("http://izonenyc.org/ilearnnyc-faq/end-of-year-symposium-2016-2/","iLEARNNYC End of Year Symposium 2016")</f>
        <v>iLEARNNYC End of Year Symposium 2016</v>
      </c>
      <c r="C78" s="489" t="str">
        <f>HYPERLINK("https://www.eventbrite.com/e/ilearnnyc-end-of-year-symposium-2016-tickets-22464326405","Register Now")</f>
        <v>Register Now</v>
      </c>
      <c r="D78" s="499" t="s">
        <v>910</v>
      </c>
      <c r="E78" s="490" t="s">
        <v>911</v>
      </c>
      <c r="F78" s="490" t="s">
        <v>550</v>
      </c>
      <c r="G78" s="507" t="s">
        <v>767</v>
      </c>
    </row>
    <row r="79">
      <c r="A79" s="487">
        <v>42530.0</v>
      </c>
      <c r="B79" s="501" t="s">
        <v>912</v>
      </c>
      <c r="C79" s="489" t="str">
        <f>HYPERLINK("http://www.edxednyc.com/","Register Now")</f>
        <v>Register Now</v>
      </c>
      <c r="D79" s="499" t="s">
        <v>913</v>
      </c>
      <c r="E79" s="490" t="s">
        <v>914</v>
      </c>
      <c r="F79" s="490" t="s">
        <v>915</v>
      </c>
      <c r="G79" s="507" t="s">
        <v>916</v>
      </c>
    </row>
    <row r="80">
      <c r="A80" s="487">
        <v>42531.0</v>
      </c>
      <c r="B80" s="501" t="s">
        <v>894</v>
      </c>
      <c r="C80" s="489" t="str">
        <f>HYPERLINK("https://www.eventbrite.com/e/makerspace-visit-ps-62q-tickets-23043907949","Register Now")</f>
        <v>Register Now</v>
      </c>
      <c r="D80" s="499" t="s">
        <v>895</v>
      </c>
      <c r="E80" s="490" t="s">
        <v>896</v>
      </c>
      <c r="F80" s="490" t="s">
        <v>867</v>
      </c>
      <c r="G80" s="493" t="str">
        <f>HYPERLINK("http://nycdoe.libguides.com/c.php?g=438491&amp;p=3191173","NYC School Library System")</f>
        <v>NYC School Library System</v>
      </c>
    </row>
    <row r="81">
      <c r="A81" s="487">
        <v>42536.0</v>
      </c>
      <c r="B81" s="501" t="s">
        <v>918</v>
      </c>
      <c r="C81" s="489" t="str">
        <f>HYPERLINK("https://www.microsoftevents.com/profile/form/index.cfm?PKformID=0x2243917140","Register Now")</f>
        <v>Register Now</v>
      </c>
      <c r="D81" s="499" t="s">
        <v>919</v>
      </c>
      <c r="E81" s="490" t="s">
        <v>920</v>
      </c>
      <c r="F81" s="490" t="s">
        <v>881</v>
      </c>
      <c r="G81" s="507" t="s">
        <v>52</v>
      </c>
    </row>
    <row r="82">
      <c r="A82" s="487">
        <v>42536.0</v>
      </c>
      <c r="B82" s="482" t="s">
        <v>789</v>
      </c>
      <c r="C82" s="483" t="str">
        <f>HYPERLINK("https://www.surveygizmo.com/s3/2651255/Technology-Leadership-Professional-Learning","Register Now")</f>
        <v>Register Now</v>
      </c>
      <c r="D82" s="485" t="s">
        <v>790</v>
      </c>
      <c r="E82" s="485" t="s">
        <v>579</v>
      </c>
      <c r="F82" s="486" t="s">
        <v>921</v>
      </c>
      <c r="G82" s="485" t="s">
        <v>792</v>
      </c>
    </row>
    <row r="83" ht="66.0" customHeight="1">
      <c r="A83" s="487">
        <v>42537.0</v>
      </c>
      <c r="B83" s="398" t="str">
        <f>HYPERLINK("https://drive.google.com/file/d/0BwWNHzIKnnr6TzhNbk9CSTlwXzg/view","Microsoft Office 365 ")</f>
        <v>Microsoft Office 365 </v>
      </c>
      <c r="C83" s="453" t="str">
        <f>HYPERLINK("https://www.surveygizmo.com/s3/2325967/SPOC-PD-Registration","Register Now")</f>
        <v>Register Now</v>
      </c>
      <c r="D83" s="488" t="str">
        <f>HYPERLINK("https://drive.google.com/file/d/0BwWNHzIKnnr6TzhNbk9CSTlwXzg/view?usp=sharing","Tips + Tricks for using MS Office 365")</f>
        <v>Tips + Tricks for using MS Office 365</v>
      </c>
      <c r="E83" s="400" t="s">
        <v>579</v>
      </c>
      <c r="F83" s="400" t="s">
        <v>580</v>
      </c>
      <c r="G83" s="416" t="s">
        <v>581</v>
      </c>
    </row>
    <row r="84" ht="66.0" customHeight="1">
      <c r="A84" s="487">
        <v>42538.0</v>
      </c>
      <c r="B84" s="482" t="s">
        <v>789</v>
      </c>
      <c r="C84" s="483" t="str">
        <f>HYPERLINK("https://www.surveygizmo.com/s3/2651255/Technology-Leadership-Professional-Learning","Register Now")</f>
        <v>Register Now</v>
      </c>
      <c r="D84" s="485" t="s">
        <v>790</v>
      </c>
      <c r="E84" s="485" t="s">
        <v>579</v>
      </c>
      <c r="F84" s="486" t="s">
        <v>833</v>
      </c>
      <c r="G84" s="485" t="s">
        <v>792</v>
      </c>
    </row>
    <row r="85" ht="66.0" customHeight="1">
      <c r="A85" s="487">
        <v>42541.0</v>
      </c>
      <c r="B85" s="398" t="str">
        <f t="shared" ref="B85:B86" si="13">HYPERLINK("https://drive.google.com/file/d/0BwWNHzIKnnr6TzhNbk9CSTlwXzg/view","Microsoft Office 365 ")</f>
        <v>Microsoft Office 365 </v>
      </c>
      <c r="C85" s="453" t="str">
        <f t="shared" ref="C85:C86" si="14">HYPERLINK("https://www.surveygizmo.com/s3/2325967/SPOC-PD-Registration","Register Now")</f>
        <v>Register Now</v>
      </c>
      <c r="D85" s="488" t="str">
        <f t="shared" ref="D85:D86" si="15">HYPERLINK("https://drive.google.com/file/d/0BwWNHzIKnnr6TzhNbk9CSTlwXzg/view?usp=sharing","Tips + Tricks for using MS Office 365")</f>
        <v>Tips + Tricks for using MS Office 365</v>
      </c>
      <c r="E85" s="400" t="s">
        <v>579</v>
      </c>
      <c r="F85" s="400" t="s">
        <v>580</v>
      </c>
      <c r="G85" s="416" t="s">
        <v>581</v>
      </c>
    </row>
    <row r="86" ht="66.0" customHeight="1">
      <c r="A86" s="487">
        <v>42542.0</v>
      </c>
      <c r="B86" s="398" t="str">
        <f t="shared" si="13"/>
        <v>Microsoft Office 365 </v>
      </c>
      <c r="C86" s="453" t="str">
        <f t="shared" si="14"/>
        <v>Register Now</v>
      </c>
      <c r="D86" s="488" t="str">
        <f t="shared" si="15"/>
        <v>Tips + Tricks for using MS Office 365</v>
      </c>
      <c r="E86" s="400" t="s">
        <v>579</v>
      </c>
      <c r="F86" s="400" t="s">
        <v>580</v>
      </c>
      <c r="G86" s="416" t="s">
        <v>581</v>
      </c>
    </row>
    <row r="87" ht="66.0" customHeight="1">
      <c r="A87" s="487">
        <v>42543.0</v>
      </c>
      <c r="B87" s="501" t="s">
        <v>926</v>
      </c>
      <c r="C87" s="489" t="str">
        <f>HYPERLINK("https://www.microsoftevents.com/profile/form/index.cfm?PKformID=0x224448c130","Register Now")</f>
        <v>Register Now</v>
      </c>
      <c r="D87" s="499" t="s">
        <v>927</v>
      </c>
      <c r="E87" s="490" t="s">
        <v>928</v>
      </c>
      <c r="F87" s="490" t="s">
        <v>881</v>
      </c>
      <c r="G87" s="507" t="s">
        <v>52</v>
      </c>
    </row>
    <row r="88">
      <c r="A88" s="487">
        <v>42550.0</v>
      </c>
      <c r="B88" s="501" t="s">
        <v>877</v>
      </c>
      <c r="C88" s="489" t="str">
        <f>HYPERLINK("https://www.microsoftevents.com/profile/form/index.cfm?PKformID=0x224505e7ad","Register Now")</f>
        <v>Register Now</v>
      </c>
      <c r="D88" s="499" t="s">
        <v>879</v>
      </c>
      <c r="E88" s="490" t="s">
        <v>929</v>
      </c>
      <c r="F88" s="490" t="s">
        <v>881</v>
      </c>
      <c r="G88" s="507" t="s">
        <v>52</v>
      </c>
    </row>
    <row r="89" ht="66.0" customHeight="1">
      <c r="A89" s="487">
        <v>42578.0</v>
      </c>
      <c r="B89" s="488" t="str">
        <f>HYPERLINK("http://www.schooltechnologysummit.com/","School Technology Summit")</f>
        <v>School Technology Summit</v>
      </c>
      <c r="C89" s="489" t="str">
        <f>HYPERLINK("http://cms.erepublic.com/common/resources?appCore=/common/forms/ajax_event/7559&amp;product_id=7559","Register Now")</f>
        <v>Register Now</v>
      </c>
      <c r="D89" s="499" t="s">
        <v>931</v>
      </c>
      <c r="E89" s="490" t="s">
        <v>932</v>
      </c>
      <c r="F89" s="490" t="s">
        <v>933</v>
      </c>
      <c r="G89" s="507" t="s">
        <v>116</v>
      </c>
    </row>
    <row r="90" ht="66.0" customHeight="1">
      <c r="A90" s="487">
        <v>42625.0</v>
      </c>
      <c r="B90" s="488" t="str">
        <f t="shared" ref="B90:B93" si="16">HYPERLINK("https://docs.google.com/forms/d/e/1FAIpQLScUBYpXRrHkW0oBLChRMuhv44nrMP653lLBeDDGhKshRz8G8w/viewform?c=0&amp;w=1","Google Apps PD ")</f>
        <v>Google Apps PD </v>
      </c>
      <c r="C90" s="489" t="str">
        <f t="shared" ref="C90:C93" si="17">HYPERLINK("https://docs.google.com/forms/d/e/1FAIpQLScUBYpXRrHkW0oBLChRMuhv44nrMP653lLBeDDGhKshRz8G8w/viewform?c=0&amp;w=1","Register here")</f>
        <v>Register here</v>
      </c>
      <c r="D90" s="532" t="s">
        <v>935</v>
      </c>
      <c r="E90" s="490" t="s">
        <v>938</v>
      </c>
      <c r="F90" s="490" t="s">
        <v>642</v>
      </c>
      <c r="G90" s="507" t="s">
        <v>939</v>
      </c>
    </row>
    <row r="91" ht="66.0" customHeight="1">
      <c r="A91" s="487">
        <v>42625.0</v>
      </c>
      <c r="B91" s="488" t="str">
        <f t="shared" si="16"/>
        <v>Google Apps PD </v>
      </c>
      <c r="C91" s="489" t="str">
        <f t="shared" si="17"/>
        <v>Register here</v>
      </c>
      <c r="D91" s="532" t="s">
        <v>935</v>
      </c>
      <c r="E91" s="490" t="s">
        <v>938</v>
      </c>
      <c r="F91" s="490" t="s">
        <v>940</v>
      </c>
      <c r="G91" s="507" t="s">
        <v>939</v>
      </c>
    </row>
    <row r="92">
      <c r="A92" s="487">
        <v>42625.0</v>
      </c>
      <c r="B92" s="488" t="str">
        <f t="shared" si="16"/>
        <v>Google Apps PD </v>
      </c>
      <c r="C92" s="533" t="str">
        <f t="shared" si="17"/>
        <v>Register here</v>
      </c>
      <c r="D92" s="532" t="s">
        <v>935</v>
      </c>
      <c r="E92" s="490" t="s">
        <v>938</v>
      </c>
      <c r="F92" s="490" t="s">
        <v>642</v>
      </c>
      <c r="G92" s="507" t="s">
        <v>939</v>
      </c>
    </row>
    <row r="93">
      <c r="A93" s="487">
        <v>42625.0</v>
      </c>
      <c r="B93" s="488" t="str">
        <f t="shared" si="16"/>
        <v>Google Apps PD </v>
      </c>
      <c r="C93" s="533" t="str">
        <f t="shared" si="17"/>
        <v>Register here</v>
      </c>
      <c r="D93" s="532" t="s">
        <v>935</v>
      </c>
      <c r="E93" s="490" t="s">
        <v>938</v>
      </c>
      <c r="F93" s="490" t="s">
        <v>940</v>
      </c>
      <c r="G93" s="507" t="s">
        <v>939</v>
      </c>
    </row>
    <row r="94">
      <c r="A94" s="425"/>
      <c r="B94" s="426"/>
      <c r="C94" s="534"/>
      <c r="D94" s="428"/>
      <c r="E94" s="428"/>
      <c r="F94" s="428"/>
      <c r="G94" s="428"/>
    </row>
    <row r="95">
      <c r="A95" s="425"/>
      <c r="B95" s="426"/>
      <c r="C95" s="534"/>
      <c r="D95" s="428"/>
      <c r="E95" s="428"/>
      <c r="F95" s="428"/>
      <c r="G95" s="428"/>
    </row>
  </sheetData>
  <autoFilter ref="$A$1:$G$93"/>
  <hyperlinks>
    <hyperlink r:id="rId1" ref="C2"/>
    <hyperlink r:id="rId2" ref="G2"/>
    <hyperlink r:id="rId3" ref="C3"/>
    <hyperlink r:id="rId4" ref="C4"/>
    <hyperlink r:id="rId5" ref="C5"/>
    <hyperlink r:id="rId6" ref="C6"/>
    <hyperlink r:id="rId7" ref="C7"/>
    <hyperlink r:id="rId8" ref="G7"/>
    <hyperlink r:id="rId9" ref="C9"/>
    <hyperlink r:id="rId10" ref="G9"/>
    <hyperlink r:id="rId11" ref="C12"/>
    <hyperlink r:id="rId12" ref="C14"/>
    <hyperlink r:id="rId13" ref="C15"/>
    <hyperlink r:id="rId14" ref="G15"/>
    <hyperlink r:id="rId15" ref="G35"/>
    <hyperlink r:id="rId16" ref="G41"/>
    <hyperlink r:id="rId17" ref="G52"/>
    <hyperlink r:id="rId18" ref="G56"/>
    <hyperlink r:id="rId19" ref="G67"/>
    <hyperlink r:id="rId20" ref="G68"/>
    <hyperlink r:id="rId21" ref="G71"/>
    <hyperlink r:id="rId22" ref="G72"/>
  </hyperlinks>
  <drawing r:id="rId2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1.86"/>
  </cols>
  <sheetData>
    <row r="1">
      <c r="A1" s="544" t="s">
        <v>965</v>
      </c>
    </row>
    <row r="2" ht="44.25" customHeight="1">
      <c r="A2" s="546" t="s">
        <v>966</v>
      </c>
    </row>
    <row r="3">
      <c r="A3" s="547" t="str">
        <f>HYPERLINK("https://infohub.nyced.org/nyc-doe-topics/it/technology-at-the-doe/training/nycschoolstech-partner-certifcation","To learn about our certification programs visit our certification page by clicking this cell.")</f>
        <v>To learn about our certification programs visit our certification page by clicking this cell.</v>
      </c>
    </row>
  </sheetData>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1.14"/>
    <col customWidth="1" min="2" max="2" width="20.86"/>
    <col customWidth="1" min="3" max="3" width="13.0"/>
    <col customWidth="1" min="4" max="4" width="22.29"/>
    <col customWidth="1" min="5" max="5" width="9.71"/>
    <col customWidth="1" min="6" max="6" width="24.0"/>
    <col customWidth="1" min="7" max="7" width="9.71"/>
    <col customWidth="1" min="8" max="8" width="75.14"/>
  </cols>
  <sheetData>
    <row r="1">
      <c r="A1" s="548" t="s">
        <v>9</v>
      </c>
      <c r="B1" s="548" t="s">
        <v>201</v>
      </c>
      <c r="C1" s="549" t="s">
        <v>517</v>
      </c>
      <c r="D1" s="548" t="s">
        <v>203</v>
      </c>
      <c r="E1" s="548" t="s">
        <v>13</v>
      </c>
      <c r="F1" s="548" t="s">
        <v>548</v>
      </c>
      <c r="G1" s="551" t="s">
        <v>968</v>
      </c>
      <c r="H1" s="552" t="s">
        <v>3</v>
      </c>
    </row>
    <row r="2">
      <c r="A2" s="380"/>
      <c r="B2" s="374"/>
      <c r="C2" s="417"/>
      <c r="D2" s="376"/>
      <c r="E2" s="376"/>
      <c r="F2" s="397"/>
      <c r="G2" s="377"/>
      <c r="H2" s="376"/>
    </row>
  </sheetData>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1.57"/>
    <col customWidth="1" min="2" max="2" width="26.43"/>
    <col customWidth="1" hidden="1" min="4" max="4" width="104.0"/>
    <col customWidth="1" min="5" max="5" width="29.57"/>
  </cols>
  <sheetData>
    <row r="1">
      <c r="A1" s="548" t="s">
        <v>9</v>
      </c>
      <c r="B1" s="548" t="s">
        <v>201</v>
      </c>
      <c r="C1" s="550" t="s">
        <v>517</v>
      </c>
      <c r="D1" s="552" t="s">
        <v>3</v>
      </c>
      <c r="E1" s="548" t="s">
        <v>203</v>
      </c>
      <c r="F1" s="548" t="s">
        <v>13</v>
      </c>
      <c r="G1" s="548" t="s">
        <v>548</v>
      </c>
    </row>
    <row r="2">
      <c r="A2" s="553">
        <v>42650.0</v>
      </c>
      <c r="B2" s="554" t="str">
        <f>HYPERLINK("https://drive.google.com/file/d/0BwWNHzIKnnr6UWtDdEJhVXJQUTQ/view?usp=sharing","Deploying Mac in the NYC DOE")</f>
        <v>Deploying Mac in the NYC DOE</v>
      </c>
      <c r="C2" s="555" t="str">
        <f>HYPERLINK("https://myevents.apple.com/edu/us/en/k12_mac_nyc_doe_-_rgst.html?token=4ATNUXp_gM1HFPxlKdy10nGpO80BvUUgQHdHZ1ucDvEiQvjiClKcYHMjZK-dJEKw","Register here")</f>
        <v>Register here</v>
      </c>
      <c r="D2" s="70" t="s">
        <v>970</v>
      </c>
      <c r="E2" s="556" t="s">
        <v>971</v>
      </c>
      <c r="F2" s="70" t="s">
        <v>972</v>
      </c>
      <c r="G2" s="557" t="str">
        <f>HYPERLINK("https://myevents.apple.com/edu/us/en/k12_mac_nyc_doe_-_rgst.html?token=4ATNUXp_gM1HFPxlKdy10nGpO80BvUUgQHdHZ1ucDvEiQvjiClKcYHMjZK-dJEKw","Apple")</f>
        <v>Apple</v>
      </c>
    </row>
    <row r="3">
      <c r="A3" s="553">
        <v>42650.0</v>
      </c>
      <c r="B3" s="558" t="str">
        <f>HYPERLINK("https://drive.google.com/file/d/0BwWNHzIKnnr6VGE0b2VndFI1V1U/view?usp=sharing","Deploying iPad in the NYC DOE")</f>
        <v>Deploying iPad in the NYC DOE</v>
      </c>
      <c r="C3" s="559" t="str">
        <f>HYPERLINK("https://myevents.apple.com/edu/us/en/k12_ipad_nyc_doe_-_rgst.html?token=4ATNUXp_gM1HFPxlKdy10iLCHloAg--kx84l_Fj5ReeTmlhperWZAZa-XrhmnjCK","Register here")</f>
        <v>Register here</v>
      </c>
      <c r="D3" s="70" t="s">
        <v>974</v>
      </c>
      <c r="E3" s="70" t="s">
        <v>971</v>
      </c>
      <c r="F3" s="70" t="s">
        <v>444</v>
      </c>
      <c r="G3" s="554" t="str">
        <f>HYPERLINK("https://myevents.apple.com/edu/us/en/k12_ipad_nyc_doe_-_rgst.html?token=4ATNUXp_gM1HFPxlKdy10iLCHloAg--kx84l_Fj5ReeTmlhperWZAZa-XrhmnjCK","Apple")</f>
        <v>Apple</v>
      </c>
    </row>
    <row r="4" ht="66.0" customHeight="1">
      <c r="A4" s="553">
        <v>42661.0</v>
      </c>
      <c r="B4" s="554" t="str">
        <f>HYPERLINK("https://drive.google.com/file/d/0BwWNHzIKnnr6OUt4MXo3Y2h2Yk0/view?usp=sharing","Maximize your School Network")</f>
        <v>Maximize your School Network</v>
      </c>
      <c r="C4" s="559" t="str">
        <f>HYPERLINK("https://www.surveygizmo.com/s3/2325967/SPOC-PD-Registration","Register Here")</f>
        <v>Register Here</v>
      </c>
      <c r="D4" s="70"/>
      <c r="E4" s="70" t="s">
        <v>977</v>
      </c>
      <c r="F4" s="70" t="s">
        <v>531</v>
      </c>
      <c r="G4" s="572" t="s">
        <v>116</v>
      </c>
    </row>
    <row r="5">
      <c r="A5" s="553">
        <v>42664.0</v>
      </c>
      <c r="B5" s="554" t="str">
        <f>HYPERLINK("https://drive.google.com/file/d/0BwWNHzIKnnr6UWxUX2JoaDFTLWs/view?usp=sharing","SPOC O365 Overview ")</f>
        <v>SPOC O365 Overview </v>
      </c>
      <c r="C5" s="573" t="s">
        <v>979</v>
      </c>
      <c r="D5" s="70"/>
      <c r="E5" s="70" t="s">
        <v>980</v>
      </c>
      <c r="F5" s="70" t="s">
        <v>580</v>
      </c>
      <c r="G5" s="572" t="s">
        <v>981</v>
      </c>
    </row>
    <row r="6" ht="66.0" customHeight="1">
      <c r="A6" s="553">
        <v>42669.0</v>
      </c>
      <c r="B6" s="554" t="str">
        <f>HYPERLINK("https://www.microsoftevents.com/profile/form/index.cfm?PKformID=0x705680212c","Teacher Academy")</f>
        <v>Teacher Academy</v>
      </c>
      <c r="C6" s="559" t="str">
        <f>HYPERLINK("https://www.microsoftevents.com/profile/form/index.cfm?PKformID=0x705680212c","Register Here")</f>
        <v>Register Here</v>
      </c>
      <c r="D6" s="70"/>
      <c r="E6" s="70" t="s">
        <v>984</v>
      </c>
      <c r="F6" s="70" t="s">
        <v>985</v>
      </c>
      <c r="G6" s="554" t="str">
        <f>HYPERLINK("https://www.microsoftevents.com/profile/form/index.cfm?PKformID=0x705680212c","Microsoft")</f>
        <v>Microsoft</v>
      </c>
    </row>
    <row r="7" ht="66.0" customHeight="1">
      <c r="A7" s="553">
        <v>42670.0</v>
      </c>
      <c r="B7" s="554" t="str">
        <f>HYPERLINK("https://www.microsoftevents.com/profile/form/index.cfm?PKformID=0x7055474e36","Creative Coding Games and Apps")</f>
        <v>Creative Coding Games and Apps</v>
      </c>
      <c r="C7" s="559" t="str">
        <f>HYPERLINK("https://www.microsoftevents.com/profile/form/index.cfm?PKformID=0x7055474e36","Register Here")</f>
        <v>Register Here</v>
      </c>
      <c r="D7" s="70"/>
      <c r="E7" s="70" t="s">
        <v>984</v>
      </c>
      <c r="F7" s="70" t="s">
        <v>985</v>
      </c>
      <c r="G7" s="554" t="str">
        <f>HYPERLINK("https://www.microsoftevents.com/profile/form/index.cfm?PKformID=0x7055474e36","Microsoft")</f>
        <v>Microsoft</v>
      </c>
    </row>
    <row r="8">
      <c r="A8" s="553">
        <v>42675.0</v>
      </c>
      <c r="B8" s="554" t="str">
        <f>HYPERLINK("https://drive.google.com/file/d/0BwWNHzIKnnr6TTM3TkRFdnZOd0k/view?usp=sharing","How to become a Microsoft Office 365 School ")</f>
        <v>How to become a Microsoft Office 365 School </v>
      </c>
      <c r="C8" s="559" t="str">
        <f>HYPERLINK("https://www.surveygizmo.com/s3/2325967/SPOC-PD-Registration","Register Here")</f>
        <v>Register Here</v>
      </c>
      <c r="D8" s="70"/>
      <c r="E8" s="70" t="s">
        <v>991</v>
      </c>
      <c r="F8" s="70" t="s">
        <v>424</v>
      </c>
      <c r="G8" s="572" t="s">
        <v>981</v>
      </c>
    </row>
    <row r="9">
      <c r="A9" s="553">
        <v>42676.0</v>
      </c>
      <c r="B9" s="554" t="str">
        <f>HYPERLINK("https://www.microsoftevents.com/profile/form/index.cfm?PKformID=0x7039891e76","Lesson Design with OneNote")</f>
        <v>Lesson Design with OneNote</v>
      </c>
      <c r="C9" s="559" t="str">
        <f>HYPERLINK("https://www.microsoftevents.com/profile/form/index.cfm?PKformID=0x7039891e76","Register Here")</f>
        <v>Register Here</v>
      </c>
      <c r="D9" s="70"/>
      <c r="E9" s="70" t="s">
        <v>984</v>
      </c>
      <c r="F9" s="70" t="s">
        <v>588</v>
      </c>
      <c r="G9" s="554" t="str">
        <f>HYPERLINK("https://www.microsoftevents.com/profile/form/index.cfm?PKformID=0x7039891e76","Microsoft")</f>
        <v>Microsoft</v>
      </c>
    </row>
    <row r="10">
      <c r="A10" s="553">
        <v>42677.0</v>
      </c>
      <c r="B10" s="554" t="str">
        <f>HYPERLINK("https://www.microsoftevents.com/profile/form/index.cfm?PKformID=0x703932e5a2","Lesson Design with OneNote")</f>
        <v>Lesson Design with OneNote</v>
      </c>
      <c r="C10" s="559" t="str">
        <f>HYPERLINK("https://www.microsoftevents.com/profile/form/index.cfm?PKformID=0x703932e5a2","Register Here")</f>
        <v>Register Here</v>
      </c>
      <c r="D10" s="70"/>
      <c r="E10" s="70" t="s">
        <v>984</v>
      </c>
      <c r="F10" s="70" t="s">
        <v>588</v>
      </c>
      <c r="G10" s="554" t="str">
        <f>HYPERLINK("https://www.microsoftevents.com/profile/form/index.cfm?PKformID=0x703932e5a2","Microsoft")</f>
        <v>Microsoft</v>
      </c>
    </row>
    <row r="11" ht="66.0" customHeight="1">
      <c r="A11" s="553">
        <v>42678.0</v>
      </c>
      <c r="B11" s="554" t="str">
        <f>HYPERLINK("https://drive.google.com/open?id=0BwWNHzIKnnr6U0hWbmFreTdBN3c","Apple &amp; Windows Imaging (Hands On)")</f>
        <v>Apple &amp; Windows Imaging (Hands On)</v>
      </c>
      <c r="C11" s="559" t="str">
        <f>HYPERLINK("https://www.surveygizmo.com/s3/2325967/SPOC-PD-Registration","Register Here")</f>
        <v>Register Here</v>
      </c>
      <c r="D11" s="70"/>
      <c r="E11" s="70" t="s">
        <v>999</v>
      </c>
      <c r="F11" s="70" t="s">
        <v>424</v>
      </c>
      <c r="G11" s="572" t="s">
        <v>116</v>
      </c>
    </row>
    <row r="12" ht="66.0" customHeight="1">
      <c r="A12" s="553">
        <v>42682.0</v>
      </c>
      <c r="B12" s="554" t="str">
        <f>HYPERLINK("https://drive.google.com/file/d/0BwWNHzIKnnr6T2FzS1YwWklaTUU/view?usp=sharing","REQUEST FOR PRESENTERS - Election Day Professional Learning - DUE 10/26/2016")</f>
        <v>REQUEST FOR PRESENTERS - Election Day Professional Learning - DUE 10/26/2016</v>
      </c>
      <c r="C12" s="559" t="str">
        <f>HYPERLINK("https://docs.google.com/forms/d/e/1FAIpQLSeBOAliJidcy9Pa_nwSDuYqJRhebDiMf7J8DvgE4lGEaOhNrA/viewform","Presenter Application")</f>
        <v>Presenter Application</v>
      </c>
      <c r="D12" s="70"/>
      <c r="E12" s="70" t="s">
        <v>549</v>
      </c>
      <c r="F12" s="70" t="s">
        <v>1004</v>
      </c>
      <c r="G12" s="572" t="s">
        <v>670</v>
      </c>
    </row>
    <row r="13">
      <c r="A13" s="553">
        <v>42682.0</v>
      </c>
      <c r="B13" s="554" t="str">
        <f>HYPERLINK("https://drive.google.com/file/d/0BwWNHzIKnnr6YUVUSkVBYnlGbWs/view?usp=sharing","Election Day - Professional Learning Opportuntiy")</f>
        <v>Election Day - Professional Learning Opportuntiy</v>
      </c>
      <c r="C13" s="559" t="str">
        <f>HYPERLINK("https://www.eventbrite.com/e/election-day-ilearnnyc-innovation-institute-professional-dev-day-tickets-28265579108","Register Here")</f>
        <v>Register Here</v>
      </c>
      <c r="D13" s="70"/>
      <c r="E13" s="70" t="s">
        <v>549</v>
      </c>
      <c r="F13" s="70" t="s">
        <v>550</v>
      </c>
      <c r="G13" s="572" t="s">
        <v>670</v>
      </c>
    </row>
    <row r="14">
      <c r="A14" s="553">
        <v>42683.0</v>
      </c>
      <c r="B14" s="554" t="str">
        <f>HYPERLINK("https://myevents.apple.com/edu/us/en/k12_mac_nyc_doe_-_rgst.html?token=4ATNUXp_gM1HFPxlKdy10p_2gbY_dXAEhxKdS8VTDUmqFf0ZBuSwEbov6fk8A9Yv","Deploying Mac in the NYC DOE")</f>
        <v>Deploying Mac in the NYC DOE</v>
      </c>
      <c r="C14" s="559" t="str">
        <f>HYPERLINK("https://myevents.apple.com/edu/us/en/k12_mac_nyc_doe_-_rgst.html?token=4ATNUXp_gM1HFPxlKdy10p_2gbY_dXAEhxKdS8VTDUmqFf0ZBuSwEbov6fk8A9Yv","Register Here")</f>
        <v>Register Here</v>
      </c>
      <c r="D14" s="70"/>
      <c r="E14" s="70" t="s">
        <v>971</v>
      </c>
      <c r="F14" s="70" t="s">
        <v>409</v>
      </c>
      <c r="G14" s="554" t="str">
        <f>HYPERLINK("https://myevents.apple.com/edu/us/en/k12_mac_nyc_doe_-_rgst.html?token=4ATNUXp_gM1HFPxlKdy10p_2gbY_dXAEhxKdS8VTDUmqFf0ZBuSwEbov6fk8A9Yv","Apple")</f>
        <v>Apple</v>
      </c>
    </row>
    <row r="15">
      <c r="A15" s="553">
        <v>42683.0</v>
      </c>
      <c r="B15" s="558" t="str">
        <f>HYPERLINK("https://drive.google.com/file/d/0BwWNHzIKnnr6VGE0b2VndFI1V1U/view?usp=sharing","Deploying iPad in the NYC DOE")</f>
        <v>Deploying iPad in the NYC DOE</v>
      </c>
      <c r="C15" s="559" t="str">
        <f>HYPERLINK("https://myevents.apple.com/edu/us/en/k12_ipad_nyc_doe_-_rgst.html?token=4ATNUXp_gM1HFPxlKdy10naYV3gC4Y_FGmQROCgMawJmZfq78FET_iIfhBhL_oaO","Register here")</f>
        <v>Register here</v>
      </c>
      <c r="D15" s="70" t="s">
        <v>974</v>
      </c>
      <c r="E15" s="70" t="s">
        <v>971</v>
      </c>
      <c r="F15" s="70" t="s">
        <v>444</v>
      </c>
      <c r="G15" s="554" t="str">
        <f>HYPERLINK("https://myevents.apple.com/edu/us/en/k12_ipad_nyc_doe_-_rgst.html?token=4ATNUXp_gM1HFPxlKdy10naYV3gC4Y_FGmQROCgMawJmZfq78FET_iIfhBhL_oaO","Apple")</f>
        <v>Apple</v>
      </c>
    </row>
    <row r="16">
      <c r="A16" s="553">
        <v>42683.0</v>
      </c>
      <c r="B16" s="554" t="str">
        <f>HYPERLINK("https://www.microsoftevents.com/profile/form/index.cfm?PKformID=0x70427440c4","A Teacher's Day Made Easier with OneNote")</f>
        <v>A Teacher's Day Made Easier with OneNote</v>
      </c>
      <c r="C16" s="559" t="str">
        <f>HYPERLINK("https://www.microsoftevents.com/profile/form/index.cfm?PKformID=0x70427440c4","Register here")</f>
        <v>Register here</v>
      </c>
      <c r="D16" s="70"/>
      <c r="E16" s="70" t="s">
        <v>984</v>
      </c>
      <c r="F16" s="70" t="s">
        <v>588</v>
      </c>
      <c r="G16" s="554" t="str">
        <f>HYPERLINK("https://www.microsoftevents.com/profile/form/index.cfm?PKformID=0x70427440c4","Microsoft")</f>
        <v>Microsoft</v>
      </c>
    </row>
    <row r="17" ht="66.0" customHeight="1">
      <c r="A17" s="553">
        <v>42684.0</v>
      </c>
      <c r="B17" s="554" t="str">
        <f>HYPERLINK("https://www.microsoftevents.com/profile/form/index.cfm?PKformID=0x704236c0be","Empower Students with Workforce Ready Skills")</f>
        <v>Empower Students with Workforce Ready Skills</v>
      </c>
      <c r="C17" s="559" t="str">
        <f>HYPERLINK("https://www.microsoftevents.com/profile/form/index.cfm?PKformID=0x704236c0be","Register here")</f>
        <v>Register here</v>
      </c>
      <c r="D17" s="70"/>
      <c r="E17" s="70" t="s">
        <v>984</v>
      </c>
      <c r="F17" s="70" t="s">
        <v>588</v>
      </c>
      <c r="G17" s="554" t="str">
        <f>HYPERLINK("https://www.microsoftevents.com/profile/form/index.cfm?PKformID=0x704236c0be","Microsoft")</f>
        <v>Microsoft</v>
      </c>
    </row>
    <row r="18" ht="66.0" customHeight="1">
      <c r="A18" s="553">
        <v>42689.0</v>
      </c>
      <c r="B18" s="554" t="str">
        <f>HYPERLINK("https://drive.google.com/open?id=0BwWNHzIKnnr6cmFFZ29tQ05pRFE","I'm a SPOC, Now What?")</f>
        <v>I'm a SPOC, Now What?</v>
      </c>
      <c r="C18" s="559" t="str">
        <f>HYPERLINK("https://www.surveygizmo.com/s3/2325967/SPOC-PD-Registration","Register Here")</f>
        <v>Register Here</v>
      </c>
      <c r="D18" s="70"/>
      <c r="E18" s="70" t="s">
        <v>977</v>
      </c>
      <c r="F18" s="70" t="s">
        <v>531</v>
      </c>
      <c r="G18" s="572" t="s">
        <v>116</v>
      </c>
    </row>
    <row r="19">
      <c r="A19" s="553">
        <v>42690.0</v>
      </c>
      <c r="B19" s="554" t="str">
        <f>HYPERLINK("https://drive.google.com/file/d/0BwWNHzIKnnr6UkI2UG9HXzNmZ3c/view?usp=sharing","asi - SPOC Training")</f>
        <v>asi - SPOC Training</v>
      </c>
      <c r="C19" s="559" t="str">
        <f>HYPERLINK("mailto:spoc.training.at.asi@asisystem.com", "Register here")</f>
        <v>Register here</v>
      </c>
      <c r="D19" s="70"/>
      <c r="E19" s="70" t="s">
        <v>1026</v>
      </c>
      <c r="F19" s="70" t="s">
        <v>1027</v>
      </c>
      <c r="G19" s="554" t="str">
        <f>HYPERLINK("https://drive.google.com/file/d/0BwWNHzIKnnr6UkI2UG9HXzNmZ3c/view","asi")</f>
        <v>asi</v>
      </c>
    </row>
    <row r="20">
      <c r="A20" s="553">
        <v>42690.0</v>
      </c>
      <c r="B20" s="554" t="str">
        <f>HYPERLINK("https://www.microsoftevents.com/profile/form/index.cfm?PKformID=0x704160577a","MIE Teacher Academy ")</f>
        <v>MIE Teacher Academy </v>
      </c>
      <c r="C20" s="559" t="str">
        <f>HYPERLINK("https://www.microsoftevents.com/profile/form/index.cfm?PKformID=0x704160577a","Register here")</f>
        <v>Register here</v>
      </c>
      <c r="D20" s="70"/>
      <c r="E20" s="70" t="s">
        <v>984</v>
      </c>
      <c r="F20" s="70" t="s">
        <v>588</v>
      </c>
      <c r="G20" s="554" t="str">
        <f>HYPERLINK("https://www.microsoftevents.com/profile/form/index.cfm?PKformID=0x704160577a","Microsoft")</f>
        <v>Microsoft</v>
      </c>
    </row>
    <row r="21">
      <c r="A21" s="553">
        <v>42703.0</v>
      </c>
      <c r="B21" s="554" t="str">
        <f>HYPERLINK("https://nycdoe-my.sharepoint.com/personal/ggarcia22_schools_nyc_gov/_layouts/15/guestaccess.aspx?guestaccesstoken=ipu21A9ZQ29QDXf6IA2L4JEeuTLjOpJlrJNOosQ9Bbk%3d&amp;docid=0021c6711731b4f09a81e483ce60194d1&amp;rev=1&amp;e=4%3A2301e304a1ae474d85b83736a1d8f979","School Technology Support Basics")</f>
        <v>School Technology Support Basics</v>
      </c>
      <c r="C21" s="559" t="str">
        <f>HYPERLINK("https://www.surveygizmo.com/s3/2325967/SPOC-PD-Registration","Register Here")</f>
        <v>Register Here</v>
      </c>
      <c r="D21" s="70"/>
      <c r="E21" s="70" t="s">
        <v>1035</v>
      </c>
      <c r="F21" s="70" t="s">
        <v>531</v>
      </c>
      <c r="G21" s="572" t="s">
        <v>116</v>
      </c>
    </row>
    <row r="22" ht="66.0" customHeight="1">
      <c r="A22" s="553">
        <v>42704.0</v>
      </c>
      <c r="B22" s="554" t="str">
        <f>HYPERLINK("https://docs.google.com/document/d/1qVyvTj33O6uCfKEhJEp5IWJp-aBCJ0BQm_Q0o_l493E/edit","Get Going with Google ")</f>
        <v>Get Going with Google </v>
      </c>
      <c r="C22" s="559" t="s">
        <v>1039</v>
      </c>
      <c r="D22" s="70" t="s">
        <v>1040</v>
      </c>
      <c r="E22" s="70" t="s">
        <v>1041</v>
      </c>
      <c r="F22" s="70" t="s">
        <v>1042</v>
      </c>
      <c r="G22" s="554" t="str">
        <f>HYPERLINK("https://docs.google.com/document/d/1qVyvTj33O6uCfKEhJEp5IWJp-aBCJ0BQm_Q0o_l493E/edit","Google")</f>
        <v>Google</v>
      </c>
    </row>
    <row r="23" ht="66.0" customHeight="1">
      <c r="A23" s="553">
        <v>42704.0</v>
      </c>
      <c r="B23" s="554" t="str">
        <f>HYPERLINK("https://docs.google.com/document/d/1l2J9S6jFYk0cX9RyMFeZmjJArwEPTuq49H-3swJTIxo/edit#","Google Classroom 101")</f>
        <v>Google Classroom 101</v>
      </c>
      <c r="C23" s="559" t="s">
        <v>1039</v>
      </c>
      <c r="D23" s="70" t="s">
        <v>882</v>
      </c>
      <c r="E23" s="70" t="s">
        <v>1041</v>
      </c>
      <c r="F23" s="70" t="s">
        <v>874</v>
      </c>
      <c r="G23" s="554" t="str">
        <f>HYPERLINK("https://docs.google.com/document/d/1l2J9S6jFYk0cX9RyMFeZmjJArwEPTuq49H-3swJTIxo/edit#","Google")</f>
        <v>Google</v>
      </c>
    </row>
    <row r="24" ht="61.5" customHeight="1">
      <c r="A24" s="595">
        <v>42704.0</v>
      </c>
      <c r="B24" s="554" t="str">
        <f>HYPERLINK("https://www.microsoftevents.com/profile/form/index.cfm?PKformID=0x7035712677","Lesson Design with OneNote")</f>
        <v>Lesson Design with OneNote</v>
      </c>
      <c r="C24" s="537" t="str">
        <f>HYPERLINK("https://www.microsoftevents.com/profile/form/index.cfm?PKformID=0x7035712677","Register here")</f>
        <v>Register here</v>
      </c>
      <c r="D24" s="596"/>
      <c r="E24" s="535" t="s">
        <v>984</v>
      </c>
      <c r="F24" s="70" t="s">
        <v>588</v>
      </c>
      <c r="G24" s="599" t="str">
        <f>HYPERLINK("https://www.microsoftevents.com/profile/form/index.cfm?PKformID=0x7035712677","Microsoft")</f>
        <v>Microsoft</v>
      </c>
    </row>
    <row r="25" ht="66.0" customHeight="1">
      <c r="A25" s="553">
        <v>42704.0</v>
      </c>
      <c r="B25" s="554" t="str">
        <f>HYPERLINK("https://drive.google.com/file/d/0BwWNHzIKnnr6UkI2UG9HXzNmZ3c/view?usp=sharing","asi - Advance SPOC Training")</f>
        <v>asi - Advance SPOC Training</v>
      </c>
      <c r="C25" s="559" t="str">
        <f>HYPERLINK("mailto:spoc.training.at.asi@asisystem.com", "Register here")</f>
        <v>Register here</v>
      </c>
      <c r="D25" s="70"/>
      <c r="E25" s="70" t="s">
        <v>1026</v>
      </c>
      <c r="F25" s="70" t="s">
        <v>1027</v>
      </c>
      <c r="G25" s="554" t="str">
        <f>HYPERLINK("https://drive.google.com/file/d/0BwWNHzIKnnr6UkI2UG9HXzNmZ3c/view","asi")</f>
        <v>asi</v>
      </c>
    </row>
    <row r="26" ht="66.0" customHeight="1">
      <c r="A26" s="553">
        <v>42705.0</v>
      </c>
      <c r="B26" s="554" t="str">
        <f>HYPERLINK("https://www.microsoftevents.com/profile/form/index.cfm?PKformID=0x704103dc92","Empower Students with Workforce Ready Skills")</f>
        <v>Empower Students with Workforce Ready Skills</v>
      </c>
      <c r="C26" s="559" t="str">
        <f>HYPERLINK("https://www.microsoftevents.com/profile/form/index.cfm?PKformID=0x704103dc92","Register here")</f>
        <v>Register here</v>
      </c>
      <c r="D26" s="70"/>
      <c r="E26" s="70" t="s">
        <v>984</v>
      </c>
      <c r="F26" s="70" t="s">
        <v>588</v>
      </c>
      <c r="G26" s="554" t="str">
        <f>HYPERLINK("https://www.microsoftevents.com/profile/form/index.cfm?PKformID=0x704103dc92","Microsoft")</f>
        <v>Microsoft</v>
      </c>
    </row>
    <row r="27" ht="66.0" customHeight="1">
      <c r="A27" s="553">
        <v>42710.0</v>
      </c>
      <c r="B27" s="554" t="str">
        <f>HYPERLINK("https://drive.google.com/file/d/0BwWNHzIKnnr6NUVBcF9zZk1MNFk/view?usp=sharing","Everyone Can Code ")</f>
        <v>Everyone Can Code </v>
      </c>
      <c r="C27" s="559" t="str">
        <f>HYPERLINK("https://myevents.apple.com/edu/us/en/apple_in_nyc_doe_-_rgst.html?token=WwqPbmwhiUynYvQu14sE4VcE9rsDEIoEXOmf1afM1xPbSYDdcBGNve6CmtvxAHm_","Register here")</f>
        <v>Register here</v>
      </c>
      <c r="D27" s="70"/>
      <c r="E27" s="70" t="s">
        <v>1053</v>
      </c>
      <c r="F27" s="70" t="s">
        <v>1054</v>
      </c>
      <c r="G27" s="554" t="str">
        <f>HYPERLINK("https://myevents.apple.com/edu/us/en/apple_in_nyc_doe_-_rgst.html?token=WwqPbmwhiUynYvQu14sE4VcE9rsDEIoEXOmf1afM1xPbSYDdcBGNve6CmtvxAHm_","Apple")</f>
        <v>Apple</v>
      </c>
    </row>
    <row r="28">
      <c r="A28" s="553">
        <v>42713.0</v>
      </c>
      <c r="B28" s="554" t="str">
        <f>HYPERLINK("https://drive.google.com/file/d/0BwWNHzIKnnr6UWtDdEJhVXJQUTQ/view?usp=sharing","Deploying Mac in the NYC DOE")</f>
        <v>Deploying Mac in the NYC DOE</v>
      </c>
      <c r="C28" s="559" t="str">
        <f>HYPERLINK("https://myevents.apple.com/edu/us/en/k12_mac_nyc_doe_-_rgst.html?token=4ATNUXp_gM1HFPxlKdy10oCWd1qRjn0JGX4xAFLbyMbEg5G90PhQJQWVggVB4HI4","Register here")</f>
        <v>Register here</v>
      </c>
      <c r="D28" s="70" t="s">
        <v>970</v>
      </c>
      <c r="E28" s="70" t="s">
        <v>971</v>
      </c>
      <c r="F28" s="70" t="s">
        <v>409</v>
      </c>
      <c r="G28" s="554" t="str">
        <f>HYPERLINK("https://myevents.apple.com/edu/us/en/k12_mac_nyc_doe_-_rgst.html?token=4ATNUXp_gM1HFPxlKdy10oCWd1qRjn0JGX4xAFLbyMbEg5G90PhQJQWVggVB4HI4","Apple")</f>
        <v>Apple</v>
      </c>
    </row>
    <row r="29">
      <c r="A29" s="553">
        <v>42713.0</v>
      </c>
      <c r="B29" s="558" t="str">
        <f>HYPERLINK("https://drive.google.com/file/d/0BwWNHzIKnnr6VGE0b2VndFI1V1U/view?usp=sharing","Deploying iPad in the NYC DOE")</f>
        <v>Deploying iPad in the NYC DOE</v>
      </c>
      <c r="C29" s="559" t="str">
        <f>HYPERLINK("https://myevents.apple.com/edu/us/en/k12_ipad_nyc_doe_-_rgst.html?token=4ATNUXp_gM1HFPxlKdy10j5ByO6GFvQ_A1uOeLVBYOXWRiw4pj1eznAue-369jdD","Register here")</f>
        <v>Register here</v>
      </c>
      <c r="D29" s="70" t="s">
        <v>974</v>
      </c>
      <c r="E29" s="70" t="s">
        <v>971</v>
      </c>
      <c r="F29" s="70" t="s">
        <v>444</v>
      </c>
      <c r="G29" s="554" t="str">
        <f>HYPERLINK("https://myevents.apple.com/edu/us/en/k12_ipad_nyc_doe_-_rgst.html?token=4ATNUXp_gM1HFPxlKdy10j5ByO6GFvQ_A1uOeLVBYOXWRiw4pj1eznAue-369jdD","Apple")</f>
        <v>Apple</v>
      </c>
    </row>
    <row r="30">
      <c r="A30" s="553">
        <v>42713.0</v>
      </c>
      <c r="B30" s="554" t="str">
        <f>HYPERLINK("https://docs.google.com/document/d/1qVyvTj33O6uCfKEhJEp5IWJp-aBCJ0BQm_Q0o_l493E/edit","Get Going with Google ")</f>
        <v>Get Going with Google </v>
      </c>
      <c r="C30" s="559" t="s">
        <v>1039</v>
      </c>
      <c r="D30" s="70" t="s">
        <v>1040</v>
      </c>
      <c r="E30" s="70" t="s">
        <v>1041</v>
      </c>
      <c r="F30" s="70" t="s">
        <v>1042</v>
      </c>
      <c r="G30" s="554" t="str">
        <f>HYPERLINK("https://docs.google.com/document/d/1qVyvTj33O6uCfKEhJEp5IWJp-aBCJ0BQm_Q0o_l493E/edit","Google")</f>
        <v>Google</v>
      </c>
    </row>
    <row r="31">
      <c r="A31" s="553">
        <v>42713.0</v>
      </c>
      <c r="B31" s="554" t="str">
        <f>HYPERLINK("https://docs.google.com/document/d/1l2J9S6jFYk0cX9RyMFeZmjJArwEPTuq49H-3swJTIxo/edit#","Google Classroom 101")</f>
        <v>Google Classroom 101</v>
      </c>
      <c r="C31" s="559" t="s">
        <v>1039</v>
      </c>
      <c r="D31" s="70" t="s">
        <v>882</v>
      </c>
      <c r="E31" s="70" t="s">
        <v>1041</v>
      </c>
      <c r="F31" s="70" t="s">
        <v>874</v>
      </c>
      <c r="G31" s="554" t="str">
        <f>HYPERLINK("https://docs.google.com/document/d/1l2J9S6jFYk0cX9RyMFeZmjJArwEPTuq49H-3swJTIxo/edit#","Google")</f>
        <v>Google</v>
      </c>
    </row>
    <row r="32">
      <c r="A32" s="553">
        <v>42717.0</v>
      </c>
      <c r="B32" s="572" t="s">
        <v>1082</v>
      </c>
      <c r="C32" s="559" t="str">
        <f>HYPERLINK("http://www.surveygizmo.com/s3/2957228/Registration-PMLNetwork-ILC-Discussion","Register here")</f>
        <v>Register here</v>
      </c>
      <c r="D32" s="70"/>
      <c r="E32" s="573" t="s">
        <v>1045</v>
      </c>
      <c r="F32" s="70" t="s">
        <v>1086</v>
      </c>
      <c r="G32" s="554" t="str">
        <f>HYPERLINK("http://powermylearning.org/","PowerMyLearning")</f>
        <v>PowerMyLearning</v>
      </c>
    </row>
    <row r="33" ht="66.0" customHeight="1">
      <c r="A33" s="553">
        <v>42719.0</v>
      </c>
      <c r="B33" s="554" t="str">
        <f>HYPERLINK("https://drive.google.com/file/d/0BwWNHzIKnnr6TTM3TkRFdnZOd0k/view?usp=sharing","How to become a Microsoft Office 365 School ")</f>
        <v>How to become a Microsoft Office 365 School </v>
      </c>
      <c r="C33" s="559" t="str">
        <f>HYPERLINK("https://www.surveygizmo.com/s3/2325967/SPOC-PD-Registration","Register here")</f>
        <v>Register here</v>
      </c>
      <c r="D33" s="70"/>
      <c r="E33" s="70" t="s">
        <v>1091</v>
      </c>
      <c r="F33" s="70" t="s">
        <v>550</v>
      </c>
      <c r="G33" s="572" t="s">
        <v>981</v>
      </c>
    </row>
    <row r="34" ht="66.0" customHeight="1">
      <c r="A34" s="553">
        <v>42720.0</v>
      </c>
      <c r="B34" s="554" t="str">
        <f>HYPERLINK("https://drive.google.com/file/d/0BwWNHzIKnnr6OUt4MXo3Y2h2Yk0/view?usp=sharing","Maximize your School Network")</f>
        <v>Maximize your School Network</v>
      </c>
      <c r="C34" s="572" t="s">
        <v>634</v>
      </c>
      <c r="D34" s="70"/>
      <c r="E34" s="70" t="s">
        <v>999</v>
      </c>
      <c r="F34" s="70" t="s">
        <v>531</v>
      </c>
      <c r="G34" s="572" t="s">
        <v>116</v>
      </c>
    </row>
    <row r="35">
      <c r="A35" s="553">
        <v>42746.0</v>
      </c>
      <c r="B35" s="554" t="str">
        <f>HYPERLINK("https://drive.google.com/file/d/0B9oUXtH7vl_1TkdZR213emtqTGc/view?usp=sharing","Modern Day Classroom Display Technology")</f>
        <v>Modern Day Classroom Display Technology</v>
      </c>
      <c r="C35" s="559" t="str">
        <f>HYPERLINK("https://www.surveygizmo.com/s3/2325967/SPOC-PD-Registration","Register here")</f>
        <v>Register here</v>
      </c>
      <c r="D35" s="70"/>
      <c r="E35" s="70" t="s">
        <v>1098</v>
      </c>
      <c r="F35" s="70" t="s">
        <v>550</v>
      </c>
      <c r="G35" s="572" t="s">
        <v>1099</v>
      </c>
    </row>
    <row r="36">
      <c r="A36" s="553">
        <v>42746.0</v>
      </c>
      <c r="B36" s="554" t="str">
        <f>HYPERLINK("https://drive.google.com/file/d/0BwWNHzIKnnr6UkI2UG9HXzNmZ3c/view?usp=sharing","asi - SPOC Training")</f>
        <v>asi - SPOC Training</v>
      </c>
      <c r="C36" s="559" t="str">
        <f>HYPERLINK("mailto:spoc.training.at.asi@asisystem.com", "Register here")</f>
        <v>Register here</v>
      </c>
      <c r="D36" s="70"/>
      <c r="E36" s="70" t="s">
        <v>1026</v>
      </c>
      <c r="F36" s="70" t="s">
        <v>1027</v>
      </c>
      <c r="G36" s="554" t="str">
        <f>HYPERLINK("https://drive.google.com/file/d/0BwWNHzIKnnr6UkI2UG9HXzNmZ3c/view","asi")</f>
        <v>asi</v>
      </c>
    </row>
    <row r="37">
      <c r="A37" s="553">
        <v>42748.0</v>
      </c>
      <c r="B37" s="554" t="str">
        <f>HYPERLINK("https://drive.google.com/open?id=0BwWNHzIKnnr6cmFFZ29tQ05pRFE","I'm a SPOC, Now What?")</f>
        <v>I'm a SPOC, Now What?</v>
      </c>
      <c r="C37" s="559" t="str">
        <f>HYPERLINK("https://www.surveygizmo.com/s3/2325967/SPOC-PD-Registration","Register here")</f>
        <v>Register here</v>
      </c>
      <c r="D37" s="70"/>
      <c r="E37" s="70" t="s">
        <v>999</v>
      </c>
      <c r="F37" s="70" t="s">
        <v>531</v>
      </c>
      <c r="G37" s="572" t="s">
        <v>116</v>
      </c>
    </row>
    <row r="38">
      <c r="A38" s="553">
        <v>42749.0</v>
      </c>
      <c r="B38" s="554" t="str">
        <f>HYPERLINK("http://simplek12.leadpages.co/event-1-14/?cc=email-basic2-un","Google Basics: Learn How to Use Collaborative Google Tools Step-by-Step")</f>
        <v>Google Basics: Learn How to Use Collaborative Google Tools Step-by-Step</v>
      </c>
      <c r="C38" s="559" t="str">
        <f>HYPERLINK("http://simplek12.leadpages.co/event-1-14/?cc=email-basic2-un","Register here")</f>
        <v>Register here</v>
      </c>
      <c r="D38" s="70"/>
      <c r="E38" s="70" t="s">
        <v>1114</v>
      </c>
      <c r="F38" s="70" t="s">
        <v>1115</v>
      </c>
      <c r="G38" s="554" t="str">
        <f>HYPERLINK("http://simplek12.leadpages.co/event-1-14/?cc=email-basic2-un","simpleK12")</f>
        <v>simpleK12</v>
      </c>
    </row>
    <row r="39" ht="66.0" customHeight="1">
      <c r="A39" s="553">
        <v>42754.0</v>
      </c>
      <c r="B39" s="554" t="str">
        <f>HYPERLINK("https://docs.google.com/forms/d/1Ddogyv3RuuN7ZFSfZ8SbNsABP1fenZn2I6NGxj7Xvu8/viewform?edit_requested=true","Cloudready Session")</f>
        <v>Cloudready Session</v>
      </c>
      <c r="C39" s="559" t="str">
        <f>HYPERLINK("https://docs.google.com/forms/d/1Ddogyv3RuuN7ZFSfZ8SbNsABP1fenZn2I6NGxj7Xvu8/viewform?edit_requested=true","Register here")</f>
        <v>Register here</v>
      </c>
      <c r="D39" s="70"/>
      <c r="E39" s="70" t="s">
        <v>1117</v>
      </c>
      <c r="F39" s="70" t="s">
        <v>1118</v>
      </c>
      <c r="G39" s="554" t="str">
        <f>HYPERLINK("https://docs.google.com/forms/d/1Ddogyv3RuuN7ZFSfZ8SbNsABP1fenZn2I6NGxj7Xvu8/viewform?edit_requested=true","Neverware")</f>
        <v>Neverware</v>
      </c>
    </row>
    <row r="40">
      <c r="A40" s="553">
        <v>42755.0</v>
      </c>
      <c r="B40" s="554" t="str">
        <f>HYPERLINK("https://drive.google.com/file/d/0BwWNHzIKnnr6UkI2UG9HXzNmZ3c/view?usp=sharing","asi - Advance SPOC Training")</f>
        <v>asi - Advance SPOC Training</v>
      </c>
      <c r="C40" s="559" t="str">
        <f>HYPERLINK("mailto:spoc.training.at.asi@asisystem.com", "Register here")</f>
        <v>Register here</v>
      </c>
      <c r="D40" s="70"/>
      <c r="E40" s="70" t="s">
        <v>1026</v>
      </c>
      <c r="F40" s="70" t="s">
        <v>1027</v>
      </c>
      <c r="G40" s="554" t="str">
        <f>HYPERLINK("https://drive.google.com/file/d/0BwWNHzIKnnr6UkI2UG9HXzNmZ3c/view","asi")</f>
        <v>asi</v>
      </c>
    </row>
    <row r="41">
      <c r="A41" s="553">
        <v>42762.0</v>
      </c>
      <c r="B41" s="554" t="str">
        <f>HYPERLINK("https://myevents.apple.com/edu/us/en/k12_mac_nyc_doe_-_land.html?token=KMQhkFdjFr4Gtp7-wcfTTJJyRiFTQFsbQR9jMF412ZZKZ03ynXtkXcvZ0RvG4EtT","Deploying Mac in the NYC DOE")</f>
        <v>Deploying Mac in the NYC DOE</v>
      </c>
      <c r="C41" s="559" t="s">
        <v>1124</v>
      </c>
      <c r="D41" s="70"/>
      <c r="E41" s="70" t="s">
        <v>1125</v>
      </c>
      <c r="F41" s="70" t="s">
        <v>409</v>
      </c>
      <c r="G41" s="554" t="str">
        <f>HYPERLINK("https://myevents.apple.com/edu/us/en/k12_mac_nyc_doe_-_land.html?token=KMQhkFdjFr4Gtp7-wcfTTJJyRiFTQFsbQR9jMF412ZZKZ03ynXtkXcvZ0RvG4EtT","Apple")</f>
        <v>Apple</v>
      </c>
    </row>
    <row r="42">
      <c r="A42" s="553">
        <v>42762.0</v>
      </c>
      <c r="B42" s="554" t="str">
        <f>HYPERLINK("https://myevents.apple.com/edu/us/en/k12_ipad_nyc_doe_-_land.html?token=KMQhkFdjFr4Gtp7-wcfTTOTW20hnrIhMP3oXsID47qpuZmg6hSLaVi1I68P2QgFj","Deploying iPad in the NYC DOE")</f>
        <v>Deploying iPad in the NYC DOE</v>
      </c>
      <c r="C42" s="559" t="s">
        <v>1124</v>
      </c>
      <c r="D42" s="70"/>
      <c r="E42" s="70" t="s">
        <v>1125</v>
      </c>
      <c r="F42" s="70" t="s">
        <v>444</v>
      </c>
      <c r="G42" s="554" t="str">
        <f>HYPERLINK("https://myevents.apple.com/edu/us/en/k12_ipad_nyc_doe_-_land.html?token=KMQhkFdjFr4Gtp7-wcfTTOTW20hnrIhMP3oXsID47qpuZmg6hSLaVi1I68P2QgFj","Apple")</f>
        <v>Apple</v>
      </c>
    </row>
    <row r="43">
      <c r="A43" s="553">
        <v>42765.0</v>
      </c>
      <c r="B43" s="554" t="str">
        <f>HYPERLINK("https://drive.google.com/file/d/0BwWNHzIKnnr6VDlicnB3MEdzcmc/view?usp=sharing","iLearnNYC")</f>
        <v>iLearnNYC</v>
      </c>
      <c r="C43" s="559" t="str">
        <f>HYPERLINK("https://www.eventbrite.com/e/innovation-institute-winter-2017-tickets-30222601615","Register here")</f>
        <v>Register here</v>
      </c>
      <c r="D43" s="70"/>
      <c r="E43" s="70" t="s">
        <v>1127</v>
      </c>
      <c r="F43" s="70" t="s">
        <v>550</v>
      </c>
      <c r="G43" s="554" t="str">
        <f>HYPERLINK("https://drive.google.com/file/d/0BwWNHzIKnnr6VDlicnB3MEdzcmc/view?usp=sharing","iLearn")</f>
        <v>iLearn</v>
      </c>
    </row>
    <row r="44" ht="66.0" customHeight="1">
      <c r="A44" s="553">
        <v>42767.0</v>
      </c>
      <c r="B44" s="554" t="str">
        <f>HYPERLINK("https://docs.google.com/forms/d/1Ddogyv3RuuN7ZFSfZ8SbNsABP1fenZn2I6NGxj7Xvu8/viewform?edit_requested=true","Cloudready Session")</f>
        <v>Cloudready Session</v>
      </c>
      <c r="C44" s="559" t="str">
        <f>HYPERLINK("https://docs.google.com/forms/d/1Ddogyv3RuuN7ZFSfZ8SbNsABP1fenZn2I6NGxj7Xvu8/viewform?edit_requested=true","Register here")</f>
        <v>Register here</v>
      </c>
      <c r="D44" s="70"/>
      <c r="E44" s="70" t="s">
        <v>1128</v>
      </c>
      <c r="F44" s="70" t="s">
        <v>907</v>
      </c>
      <c r="G44" s="554" t="str">
        <f>HYPERLINK("https://docs.google.com/forms/d/1Ddogyv3RuuN7ZFSfZ8SbNsABP1fenZn2I6NGxj7Xvu8/viewform?edit_requested=true","Neverware")</f>
        <v>Neverware</v>
      </c>
    </row>
    <row r="45" ht="66.0" customHeight="1">
      <c r="A45" s="553">
        <v>42769.0</v>
      </c>
      <c r="B45" s="554" t="str">
        <f>HYPERLINK("https://drive.google.com/file/d/0BwWNHzIKnnr6UkI2UG9HXzNmZ3c/view?usp=sharing","Windows 10 Training")</f>
        <v>Windows 10 Training</v>
      </c>
      <c r="C45" s="559" t="str">
        <f>HYPERLINK("mailto:spoc.training.at.asi@asisystem.com", "Register here")</f>
        <v>Register here</v>
      </c>
      <c r="D45" s="70"/>
      <c r="E45" s="70" t="s">
        <v>1026</v>
      </c>
      <c r="F45" s="70" t="s">
        <v>1027</v>
      </c>
      <c r="G45" s="554" t="str">
        <f>HYPERLINK("https://drive.google.com/file/d/0BwWNHzIKnnr6UkI2UG9HXzNmZ3c/view","asi")</f>
        <v>asi</v>
      </c>
    </row>
    <row r="46" ht="66.0" customHeight="1">
      <c r="A46" s="553">
        <v>42769.0</v>
      </c>
      <c r="B46" s="554" t="str">
        <f>HYPERLINK("https://drive.google.com/open?id=0BwWNHzIKnnr6U0hWbmFreTdBN3c","Apple &amp; Windows Imaging (Hands On)")</f>
        <v>Apple &amp; Windows Imaging (Hands On)</v>
      </c>
      <c r="C46" s="559" t="str">
        <f>HYPERLINK("https://www.surveygizmo.com/s3/2325967/SPOC-PD-Registration","Register here")</f>
        <v>Register here</v>
      </c>
      <c r="D46" s="70"/>
      <c r="E46" s="70" t="s">
        <v>999</v>
      </c>
      <c r="F46" s="70" t="s">
        <v>424</v>
      </c>
      <c r="G46" s="572" t="s">
        <v>116</v>
      </c>
    </row>
    <row r="47">
      <c r="A47" s="553">
        <v>42773.0</v>
      </c>
      <c r="B47" s="554" t="str">
        <f t="shared" ref="B47:B48" si="1">HYPERLINK("https://drive.google.com/file/d/0BwWNHzIKnnr6ODhuVEd0YkIwN0k/view?usp=sharing","Parent and Community Engagement")</f>
        <v>Parent and Community Engagement</v>
      </c>
      <c r="C47" s="559" t="str">
        <f>HYPERLINK("https://myevents.apple.com/edu/us/en/apple_in_nyc_doe_-_rgst.html?token=-ijwLN09p6fhCNMvYyYCFP9O8pY9QtG7GHQ1gZS1OQIeRc1rC2KVHoNKyiSGCPK7","Register Here")</f>
        <v>Register Here</v>
      </c>
      <c r="D47" s="70"/>
      <c r="E47" s="70" t="s">
        <v>1053</v>
      </c>
      <c r="F47" s="70" t="s">
        <v>907</v>
      </c>
      <c r="G47" s="554" t="str">
        <f t="shared" ref="G47:G48" si="2">HYPERLINK("https://drive.google.com/file/d/0BwWNHzIKnnr6ODhuVEd0YkIwN0k/view?usp=sharing","Apple")</f>
        <v>Apple</v>
      </c>
    </row>
    <row r="48">
      <c r="A48" s="553">
        <v>42773.0</v>
      </c>
      <c r="B48" s="554" t="str">
        <f t="shared" si="1"/>
        <v>Parent and Community Engagement</v>
      </c>
      <c r="C48" s="559" t="str">
        <f>HYPERLINK("https://myevents.apple.com/edu/us/en/apple_in_nyc_doe_-_rgst.html?token=uCjYdydMgfrSFMK_8ZHHGUO2t13tp5A3B6bTBN90ysDWF-nLWSZQx1wLuMcfqJSk","Register Here")</f>
        <v>Register Here</v>
      </c>
      <c r="D48" s="70"/>
      <c r="E48" s="70" t="s">
        <v>1053</v>
      </c>
      <c r="F48" s="70" t="s">
        <v>1054</v>
      </c>
      <c r="G48" s="554" t="str">
        <f t="shared" si="2"/>
        <v>Apple</v>
      </c>
    </row>
    <row r="49" ht="66.0" customHeight="1">
      <c r="A49" s="553">
        <v>42775.0</v>
      </c>
      <c r="B49" s="554" t="str">
        <f>HYPERLINK("https://docs.google.com/document/d/16IgGzRpdBDH38FEVDH5Obgd09gA_6X3Tgbi2oKfQI1A/edit?usp=sharing","Google's G Suite for Education 101")</f>
        <v>Google's G Suite for Education 101</v>
      </c>
      <c r="C49" s="559" t="s">
        <v>1132</v>
      </c>
      <c r="D49" s="70"/>
      <c r="E49" s="70" t="s">
        <v>1133</v>
      </c>
      <c r="F49" s="70" t="s">
        <v>409</v>
      </c>
      <c r="G49" s="626" t="s">
        <v>736</v>
      </c>
    </row>
    <row r="50" ht="66.0" customHeight="1">
      <c r="A50" s="553">
        <v>42775.0</v>
      </c>
      <c r="B50" s="554" t="str">
        <f>HYPERLINK("https://docs.google.com/document/d/1qVyvTj33O6uCfKEhJEp5IWJp-aBCJ0BQm_Q0o_l493E/edit#bookmark=id.n15309pjwyop","Google Classroom 101")</f>
        <v>Google Classroom 101</v>
      </c>
      <c r="C50" s="559" t="s">
        <v>1132</v>
      </c>
      <c r="D50" s="70"/>
      <c r="E50" s="70" t="s">
        <v>1133</v>
      </c>
      <c r="F50" s="70" t="s">
        <v>444</v>
      </c>
      <c r="G50" s="572" t="s">
        <v>1134</v>
      </c>
    </row>
    <row r="51">
      <c r="A51" s="553">
        <v>42781.0</v>
      </c>
      <c r="B51" s="554" t="str">
        <f>HYPERLINK("https://drive.google.com/file/d/0BwWNHzIKnnr6UkI2UG9HXzNmZ3c/view?usp=sharing","2017 Apple Training")</f>
        <v>2017 Apple Training</v>
      </c>
      <c r="C51" s="559" t="str">
        <f>HYPERLINK("mailto:spoc.training.at.asi@asisystem.com", "Register here")</f>
        <v>Register here</v>
      </c>
      <c r="D51" s="70"/>
      <c r="E51" s="70" t="s">
        <v>1026</v>
      </c>
      <c r="F51" s="70" t="s">
        <v>1027</v>
      </c>
      <c r="G51" s="554" t="str">
        <f>HYPERLINK("https://drive.google.com/file/d/0BwWNHzIKnnr6UkI2UG9HXzNmZ3c/view","asi")</f>
        <v>asi</v>
      </c>
    </row>
    <row r="52">
      <c r="A52" s="553">
        <v>42781.0</v>
      </c>
      <c r="B52" s="554" t="str">
        <f>HYPERLINK("https://drive.google.com/file/d/0B9oUXtH7vl_1MUNZVHVtOWZ1Zms/view?usp=sharing","School Technology Support Basics")</f>
        <v>School Technology Support Basics</v>
      </c>
      <c r="C52" s="559" t="str">
        <f>HYPERLINK("https://www.surveygizmo.com/s3/2325967/SPOC-PD-Registration","Register here")</f>
        <v>Register here</v>
      </c>
      <c r="D52" s="70"/>
      <c r="E52" s="70" t="s">
        <v>999</v>
      </c>
      <c r="F52" s="70" t="s">
        <v>424</v>
      </c>
      <c r="G52" s="572" t="s">
        <v>116</v>
      </c>
    </row>
    <row r="53">
      <c r="A53" s="553">
        <v>42781.0</v>
      </c>
      <c r="B53" s="554" t="str">
        <f>HYPERLINK("https://www.microsoftevents.com/profile/form/index.cfm?PKformID=0x10048737fd9%20","Minecraft Teacher Academics ")</f>
        <v>Minecraft Teacher Academics </v>
      </c>
      <c r="C53" s="559" t="str">
        <f>HYPERLINK("https://www.microsoftevents.com/profile/form/index.cfm?PKformID=0x10048737fd9%20","Register here")</f>
        <v>Register here</v>
      </c>
      <c r="D53" s="70"/>
      <c r="E53" s="70" t="s">
        <v>1139</v>
      </c>
      <c r="F53" s="70" t="s">
        <v>1140</v>
      </c>
      <c r="G53" s="554" t="str">
        <f>HYPERLINK("https://nycdoe-my.sharepoint.com/personal/ggarcia22_schools_nyc_gov/_layouts/15/onedrive.aspx?id=%2Fpersonal%2Fggarcia22_schools_nyc_gov%2FDocuments%2FShared%20with%20Everyone%2FLCC%20%20Minecraft%20Workshop%20Flyer%20-%20Hofstra%20v2%2Epdf&amp;parent=%2Fpers"&amp;"onal%2Fggarcia22_schools_nyc_gov%2FDocuments%2FShared%20with%20Everyone","Microsoft")</f>
        <v>Microsoft</v>
      </c>
    </row>
    <row r="54" ht="66.0" customHeight="1">
      <c r="A54" s="553">
        <v>42782.0</v>
      </c>
      <c r="B54" s="554" t="str">
        <f>HYPERLINK("https://docs.google.com/forms/d/1Ddogyv3RuuN7ZFSfZ8SbNsABP1fenZn2I6NGxj7Xvu8/viewform?edit_requested=true","Cloudready Session")</f>
        <v>Cloudready Session</v>
      </c>
      <c r="C54" s="559" t="str">
        <f>HYPERLINK("https://docs.google.com/forms/d/1Ddogyv3RuuN7ZFSfZ8SbNsABP1fenZn2I6NGxj7Xvu8/viewform?edit_requested=true","Register here")</f>
        <v>Register here</v>
      </c>
      <c r="D54" s="70"/>
      <c r="E54" s="70" t="s">
        <v>1117</v>
      </c>
      <c r="F54" s="70" t="s">
        <v>1143</v>
      </c>
      <c r="G54" s="554" t="str">
        <f>HYPERLINK("https://docs.google.com/forms/d/1Ddogyv3RuuN7ZFSfZ8SbNsABP1fenZn2I6NGxj7Xvu8/viewform?edit_requested=true","Neverware")</f>
        <v>Neverware</v>
      </c>
    </row>
    <row r="55">
      <c r="A55" s="553">
        <v>42783.0</v>
      </c>
      <c r="B55" s="554" t="str">
        <f>HYPERLINK("https://myevents.apple.com/edu/us/en/k12_mac_nyc_doe_-_land.html?token=jHjMZtujNG1QuyoXwG9Dm_0aGKZQssCVuIqjpGBgoug5Hy0qnsIK-BTikboOl6bT","Deploying Mac in the NYC DOE")</f>
        <v>Deploying Mac in the NYC DOE</v>
      </c>
      <c r="C55" s="559" t="str">
        <f>HYPERLINK("https://myevents.apple.com/edu/us/en/k12_mac_nyc_doe_-_rgst.html?token=jHjMZtujNG1QuyoXwG9Dm0mmPF5lg-UF-u5hH94lAEQ-pcENolZLvo0QjtCb-N4z","Register here")</f>
        <v>Register here</v>
      </c>
      <c r="D55" s="70"/>
      <c r="E55" s="70" t="s">
        <v>1146</v>
      </c>
      <c r="F55" s="70" t="s">
        <v>1147</v>
      </c>
      <c r="G55" s="554" t="str">
        <f>HYPERLINK("https://myevents.apple.com/edu/us/en/k12_mac_nyc_doe_-_land.html?token=jHjMZtujNG1QuyoXwG9Dm_0aGKZQssCVuIqjpGBgoug5Hy0qnsIK-BTikboOl6bT","Apple")</f>
        <v>Apple</v>
      </c>
    </row>
    <row r="56">
      <c r="A56" s="553">
        <v>42783.0</v>
      </c>
      <c r="B56" s="554" t="str">
        <f>HYPERLINK("https://myevents.apple.com/edu/us/en/k12_ipad_nyc_doe_-_land.html?token=KMQhkFdjFr4Gtp7-wcfTTPz-kQsW7ipornkIND-DMZtmmwmWikYitbAGtT2BFtIH","Deploying iPad in the NYC DOE")</f>
        <v>Deploying iPad in the NYC DOE</v>
      </c>
      <c r="C56" s="559" t="str">
        <f>HYPERLINK("https://myevents.apple.com/edu/us/en/k12_ipad_nyc_doe_-_rgst.html?token=KMQhkFdjFr4Gtp7-wcfTTOO6x103ME-xgBizpbRDDY4gzMDChwkl9ClCx6_Ns5mK","Register here")</f>
        <v>Register here</v>
      </c>
      <c r="D56" s="70"/>
      <c r="E56" s="70" t="s">
        <v>1146</v>
      </c>
      <c r="F56" s="70" t="s">
        <v>444</v>
      </c>
      <c r="G56" s="554" t="str">
        <f>HYPERLINK("https://myevents.apple.com/edu/us/en/k12_ipad_nyc_doe_-_land.html?token=KMQhkFdjFr4Gtp7-wcfTTPz-kQsW7ipornkIND-DMZtmmwmWikYitbAGtT2BFtIH","Apple")</f>
        <v>Apple</v>
      </c>
    </row>
    <row r="57">
      <c r="A57" s="70" t="s">
        <v>1152</v>
      </c>
      <c r="B57" s="554" t="str">
        <f>HYPERLINK("http://thelamp.org/free-media-literacy-professional-development-nyc-teachers/","CS4ALL STEM Institute")</f>
        <v>CS4ALL STEM Institute</v>
      </c>
      <c r="C57" s="559" t="str">
        <f>HYPERLINK("https://opsrevents.configio.com/ShoppingCart.aspx?com=detailview&amp;iid=352&amp;code=UVuiuYE8O4","Register here by 2/3/2017")</f>
        <v>Register here by 2/3/2017</v>
      </c>
      <c r="D57" s="70"/>
      <c r="E57" s="70" t="s">
        <v>1154</v>
      </c>
      <c r="F57" s="70" t="s">
        <v>1155</v>
      </c>
      <c r="G57" s="554" t="str">
        <f>HYPERLINK("https://opsrevents.configio.com/ShoppingCart.aspx?com=detailview&amp;iid=352&amp;code=UVuiuYE8O4","NYC Computer Science for All")</f>
        <v>NYC Computer Science for All</v>
      </c>
    </row>
    <row r="58">
      <c r="A58" s="527">
        <v>42801.0</v>
      </c>
      <c r="B58" s="554" t="str">
        <f>HYPERLINK("https://myevents.apple.com/edu/us/en/apple_in_nyc_doe_stem_-_land.html?token=e48dDCddNP3lSCqsGqxqrJhhnZ3U_pSW5pDIMrqM_FnweDRZDQDor5gVN9TajJLE","Enhancing Learning and Teaching in STEM")</f>
        <v>Enhancing Learning and Teaching in STEM</v>
      </c>
      <c r="C58" s="559" t="str">
        <f>HYPERLINK("https://myevents.apple.com/edu/us/en/apple_in_nyc_doe_-_rgst.html?token=e48dDCddNP3lSCqsGqxqrHkFjj2yIDzv3SjgLvhCEvbjGZb9qIDa-kevB1IB5KJz","Register here")</f>
        <v>Register here</v>
      </c>
      <c r="D58" s="70"/>
      <c r="E58" s="70" t="s">
        <v>1156</v>
      </c>
      <c r="F58" s="70" t="s">
        <v>1054</v>
      </c>
      <c r="G58" s="554" t="str">
        <f>HYPERLINK("https://myevents.apple.com/edu/us/en/apple_in_nyc_doe_stem_-_land.html?token=e48dDCddNP3lSCqsGqxqrJhhnZ3U_pSW5pDIMrqM_FnweDRZDQDor5gVN9TajJLE","Apple")</f>
        <v>Apple</v>
      </c>
    </row>
    <row r="59">
      <c r="A59" s="527">
        <v>42809.0</v>
      </c>
      <c r="B59" s="554" t="str">
        <f>HYPERLINK("https://www.microsoftevents.com/profile/form/index.cfm?PKformID=0x1428098868b","MIE Teacher Academy -- Office 365")</f>
        <v>MIE Teacher Academy -- Office 365</v>
      </c>
      <c r="C59" s="559" t="str">
        <f>HYPERLINK("https://www.microsoftevents.com/profile/form/index.cfm?PKformID=0x1428098868b","Register here")</f>
        <v>Register here</v>
      </c>
      <c r="D59" s="70"/>
      <c r="E59" s="70" t="s">
        <v>1168</v>
      </c>
      <c r="F59" s="70" t="s">
        <v>985</v>
      </c>
      <c r="G59" s="554" t="str">
        <f>HYPERLINK("https://www.microsoftevents.com/profile/form/index.cfm?PKformID=0x1428098868b","Microsoft")</f>
        <v>Microsoft</v>
      </c>
    </row>
    <row r="60">
      <c r="A60" s="527">
        <v>42810.0</v>
      </c>
      <c r="B60" s="554" t="str">
        <f>HYPERLINK("https://myevents.apple.com/edu/us/en/k12_mac_nyc_doe_-_land.html?token=jHjMZtujNG1QuyoXwG9Dm7Z0oRZ5gRxtHV3Xr_EprTvHHZD0CrNULt15IOcB8xrg","Deploying Mac in the NYC DOE")</f>
        <v>Deploying Mac in the NYC DOE</v>
      </c>
      <c r="C60" s="559" t="str">
        <f>HYPERLINK("https://myevents.apple.com/edu/us/en/k12_mac_nyc_doe_-_rgst.html?token=jHjMZtujNG1QuyoXwG9Dm5CK76cCIN46gULppYjzqzzyxLX3s_vCICz1f8XI4M-_","Register here")</f>
        <v>Register here</v>
      </c>
      <c r="D60" s="70"/>
      <c r="E60" s="70" t="s">
        <v>1146</v>
      </c>
      <c r="F60" s="70" t="s">
        <v>409</v>
      </c>
      <c r="G60" s="554" t="str">
        <f>HYPERLINK("https://myevents.apple.com/edu/us/en/k12_mac_nyc_doe_-_land.html?token=jHjMZtujNG1QuyoXwG9Dm7Z0oRZ5gRxtHV3Xr_EprTvHHZD0CrNULt15IOcB8xrg","Apple")</f>
        <v>Apple</v>
      </c>
    </row>
    <row r="61">
      <c r="A61" s="527">
        <v>42810.0</v>
      </c>
      <c r="B61" s="554" t="str">
        <f>HYPERLINK("https://myevents.apple.com/edu/us/en/k12_ipad_nyc_doe_-_land.html?token=KMQhkFdjFr4Gtp7-wcfTTJhMtLvVVWKItdOCj2YVyODrMuv-OyRt3WA3Wwh3pCrO","Deploying iPad in the NYC DOE")</f>
        <v>Deploying iPad in the NYC DOE</v>
      </c>
      <c r="C61" s="559" t="str">
        <f>HYPERLINK("https://myevents.apple.com/edu/us/en/k12_ipad_nyc_doe_-_rgst.html?token=KMQhkFdjFr4Gtp7-wcfTTMEzPPQG-Rh4fv1T-u4_-gl6czkEJV4G9zWeWvFxRsys","Register here")</f>
        <v>Register here</v>
      </c>
      <c r="D61" s="70"/>
      <c r="E61" s="70" t="s">
        <v>1146</v>
      </c>
      <c r="F61" s="70" t="s">
        <v>444</v>
      </c>
      <c r="G61" s="554" t="str">
        <f>HYPERLINK("https://myevents.apple.com/edu/us/en/k12_ipad_nyc_doe_-_land.html?token=KMQhkFdjFr4Gtp7-wcfTTJhMtLvVVWKItdOCj2YVyODrMuv-OyRt3WA3Wwh3pCrO","Apple")</f>
        <v>Apple</v>
      </c>
    </row>
    <row r="62">
      <c r="A62" s="527">
        <v>42445.0</v>
      </c>
      <c r="B62" s="554" t="str">
        <f>HYPERLINK("https://docs.google.com/forms/d/1Ddogyv3RuuN7ZFSfZ8SbNsABP1fenZn2I6NGxj7Xvu8/viewform?edit_requested=true","Cloudready Session")</f>
        <v>Cloudready Session</v>
      </c>
      <c r="C62" s="559" t="str">
        <f>HYPERLINK("https://docs.google.com/forms/d/1Ddogyv3RuuN7ZFSfZ8SbNsABP1fenZn2I6NGxj7Xvu8/viewform?edit_requested=true","Register here")</f>
        <v>Register here</v>
      </c>
      <c r="D62" s="70"/>
      <c r="E62" s="70" t="s">
        <v>1117</v>
      </c>
      <c r="F62" s="70" t="s">
        <v>1118</v>
      </c>
      <c r="G62" s="554" t="str">
        <f>HYPERLINK("https://docs.google.com/forms/d/1Ddogyv3RuuN7ZFSfZ8SbNsABP1fenZn2I6NGxj7Xvu8/viewform?edit_requested=true","Neverware")</f>
        <v>Neverware</v>
      </c>
    </row>
    <row r="63">
      <c r="A63" s="553">
        <v>42811.0</v>
      </c>
      <c r="B63" s="554" t="str">
        <f>HYPERLINK("https://nycdoe-my.sharepoint.com/personal/ggarcia22_schools_nyc_gov/_layouts/15/guestaccess.aspx?guestaccesstoken=ipu21A9ZQ29QDXf6IA2L4JEeuTLjOpJlrJNOosQ9Bbk%3d&amp;docid=0021c6711731b4f09a81e483ce60194d1&amp;rev=1&amp;e=4%3A2301e304a1ae474d85b83736a1d8f979","School Technology Support Basics")</f>
        <v>School Technology Support Basics</v>
      </c>
      <c r="C63" s="559" t="str">
        <f>HYPERLINK("https://www.surveygizmo.com/s3/2325967/SPOC-PD-Registration","Register here")</f>
        <v>Register here</v>
      </c>
      <c r="D63" s="70"/>
      <c r="E63" s="70" t="s">
        <v>1183</v>
      </c>
      <c r="F63" s="70" t="s">
        <v>424</v>
      </c>
      <c r="G63" s="572" t="s">
        <v>116</v>
      </c>
    </row>
    <row r="64">
      <c r="A64" s="553">
        <v>42811.0</v>
      </c>
      <c r="B64" s="554" t="str">
        <f>HYPERLINK("https://www.microsoftevents.com/profile/form/index.cfm?PKformID=0x10123973589","Minecraft Teacher Academics ")</f>
        <v>Minecraft Teacher Academics </v>
      </c>
      <c r="C64" s="559" t="str">
        <f>HYPERLINK("https://www.microsoftevents.com/profile/form/index.cfm?PKformID=0x10123973589","Register here")</f>
        <v>Register here</v>
      </c>
      <c r="D64" s="70"/>
      <c r="E64" s="70" t="s">
        <v>1184</v>
      </c>
      <c r="F64" s="70" t="s">
        <v>1140</v>
      </c>
      <c r="G64" s="554" t="str">
        <f>HYPERLINK("https://nycdoe-my.sharepoint.com/personal/ggarcia22_schools_nyc_gov/_layouts/15/onedrive.aspx?id=%2Fpersonal%2Fggarcia22_schools_nyc_gov%2FDocuments%2FShared%20with%20Everyone%2FLCC%20%20Minecraft%20Workshop%20Flyer%20-%20NYIT%20v2%2Epdf&amp;parent=%2Fpersona"&amp;"l%2Fggarcia22_schools_nyc_gov%2FDocuments%2FShared%20with%20Everyone","Microsoft")</f>
        <v>Microsoft</v>
      </c>
    </row>
    <row r="65">
      <c r="A65" s="553">
        <v>42816.0</v>
      </c>
      <c r="B65" s="554" t="str">
        <f>HYPERLINK("https://drive.google.com/file/d/0BwWNHzIKnnr6UkI2UG9HXzNmZ3c/view?usp=sharing","asi - SPOC Training")</f>
        <v>asi - SPOC Training</v>
      </c>
      <c r="C65" s="559" t="str">
        <f>HYPERLINK("mailto:spoc.training.at.asi@asisystem.com","Register here via email")</f>
        <v>Register here via email</v>
      </c>
      <c r="D65" s="70"/>
      <c r="E65" s="70" t="s">
        <v>1026</v>
      </c>
      <c r="F65" s="70" t="s">
        <v>1027</v>
      </c>
      <c r="G65" s="554" t="str">
        <f>HYPERLINK("https://drive.google.com/file/d/0BwWNHzIKnnr6UkI2UG9HXzNmZ3c/view","asi")</f>
        <v>asi</v>
      </c>
    </row>
    <row r="66">
      <c r="A66" s="657">
        <v>42818.0</v>
      </c>
      <c r="B66" s="554" t="str">
        <f>HYPERLINK("https://docs.google.com/document/d/16IgGzRpdBDH38FEVDH5Obgd09gA_6X3Tgbi2oKfQI1A/edit?usp=sharing","Google's G Suite for Education 101 &amp; The New Google Sites")</f>
        <v>Google's G Suite for Education 101 &amp; The New Google Sites</v>
      </c>
      <c r="C66" s="559" t="str">
        <f>HYPERLINK("https://docs.google.com/a/psms161.org/forms/d/e/1FAIpQLSdVdDIW5hzDR73pr7j7j7DCqIodHcC8qfXKsya2EsFMQd9jwQ/viewform","Registration ")</f>
        <v>Registration </v>
      </c>
      <c r="D66" s="70"/>
      <c r="E66" s="661" t="s">
        <v>1202</v>
      </c>
      <c r="F66" s="227" t="s">
        <v>409</v>
      </c>
      <c r="G66" s="626" t="s">
        <v>736</v>
      </c>
    </row>
    <row r="67">
      <c r="A67" s="657">
        <v>42818.0</v>
      </c>
      <c r="B67" s="554" t="str">
        <f>HYPERLINK("https://docs.google.com/document/d/1qVyvTj33O6uCfKEhJEp5IWJp-aBCJ0BQm_Q0o_l493E/edit#bookmark=id.n15309pjwyop","Google Classroom 101")</f>
        <v>Google Classroom 101</v>
      </c>
      <c r="C67" s="559" t="str">
        <f>HYPERLINK("https://docs.google.com/a/psms161.org/forms/d/e/1FAIpQLSdVdDIW5hzDR73pr7j7j7DCqIodHcC8qfXKsya2EsFMQd9jwQ/viewform","Registration")</f>
        <v>Registration</v>
      </c>
      <c r="D67" s="70"/>
      <c r="E67" s="661" t="s">
        <v>1202</v>
      </c>
      <c r="F67" s="227" t="s">
        <v>907</v>
      </c>
      <c r="G67" s="626" t="s">
        <v>736</v>
      </c>
    </row>
    <row r="68">
      <c r="A68" s="527">
        <v>42829.0</v>
      </c>
      <c r="B68" s="559" t="str">
        <f>HYPERLINK("https://myevents.apple.com/edu/us/en/apple_in_nyc_doe_ell_-_land.html?token=e48dDCddNP3lSCqsGqxqrDXXQEKDVNG6vXlSfHA6QfqerhVMhReAN-5oQ_GN0mgs","Supporting English Language Learners")</f>
        <v>Supporting English Language Learners</v>
      </c>
      <c r="C68" s="572" t="s">
        <v>1207</v>
      </c>
      <c r="D68" s="70"/>
      <c r="E68" s="70" t="s">
        <v>1208</v>
      </c>
      <c r="F68" s="70" t="s">
        <v>1054</v>
      </c>
      <c r="G68" s="559" t="str">
        <f>HYPERLINK("https://myevents.apple.com/edu/us/en/apple_in_nyc_doe_ell_-_land.html?token=e48dDCddNP3lSCqsGqxqrDXXQEKDVNG6vXlSfHA6QfqerhVMhReAN-5oQ_GN0mgs","Apple")</f>
        <v>Apple</v>
      </c>
    </row>
    <row r="69">
      <c r="A69" s="527">
        <v>42828.0</v>
      </c>
      <c r="B69" s="554" t="str">
        <f>HYPERLINK("https://www.microsoftevents.com/profile/form/index.cfm?PKformID=0x14190924d82","MIE Teacher Academy")</f>
        <v>MIE Teacher Academy</v>
      </c>
      <c r="C69" s="559" t="str">
        <f>HYPERLINK("https://www.microsoftevents.com/profile/form/index.cfm?PKformID=0x14190924d82","Register here")</f>
        <v>Register here</v>
      </c>
      <c r="D69" s="70"/>
      <c r="E69" s="70" t="s">
        <v>1219</v>
      </c>
      <c r="F69" s="70" t="s">
        <v>1220</v>
      </c>
      <c r="G69" s="554" t="str">
        <f>HYPERLINK("https://www.microsoftevents.com/profile/form/index.cfm?PKformID=0x14190924d82","Microsoft")</f>
        <v>Microsoft</v>
      </c>
    </row>
    <row r="70">
      <c r="A70" s="527">
        <v>42830.0</v>
      </c>
      <c r="B70" s="554" t="str">
        <f>HYPERLINK("https://drive.google.com/open?id=0B9oUXtH7vl_1eFdBVXU1bXdXTEU","How to become a Microsoft Office 365 School ")</f>
        <v>How to become a Microsoft Office 365 School </v>
      </c>
      <c r="C70" s="559" t="str">
        <f t="shared" ref="C70:C71" si="3">HYPERLINK("https://www.surveygizmo.com/s3/2325967/SPOC-PD-Registration","Register here")</f>
        <v>Register here</v>
      </c>
      <c r="D70" s="70"/>
      <c r="E70" s="70" t="s">
        <v>1224</v>
      </c>
      <c r="F70" s="70" t="s">
        <v>1225</v>
      </c>
      <c r="G70" s="572" t="s">
        <v>52</v>
      </c>
    </row>
    <row r="71">
      <c r="A71" s="527">
        <v>42829.0</v>
      </c>
      <c r="B71" s="554" t="str">
        <f>HYPERLINK("https://drive.google.com/file/d/0BwWNHzIKnnr6OUt4MXo3Y2h2Yk0/view?usp=sharing","Maximize your School Network")</f>
        <v>Maximize your School Network</v>
      </c>
      <c r="C71" s="559" t="str">
        <f t="shared" si="3"/>
        <v>Register here</v>
      </c>
      <c r="D71" s="70"/>
      <c r="E71" s="70" t="s">
        <v>1227</v>
      </c>
      <c r="F71" s="70" t="s">
        <v>531</v>
      </c>
      <c r="G71" s="572" t="s">
        <v>116</v>
      </c>
    </row>
    <row r="72" ht="66.0" customHeight="1">
      <c r="A72" s="527">
        <v>42830.0</v>
      </c>
      <c r="B72" s="554" t="str">
        <f>HYPERLINK("https://docs.google.com/forms/d/1Ddogyv3RuuN7ZFSfZ8SbNsABP1fenZn2I6NGxj7Xvu8/viewform?edit_requested=true","Cloudready Session")</f>
        <v>Cloudready Session</v>
      </c>
      <c r="C72" s="559" t="str">
        <f>HYPERLINK("https://docs.google.com/forms/d/1Ddogyv3RuuN7ZFSfZ8SbNsABP1fenZn2I6NGxj7Xvu8/viewform?edit_requested=true","Register here")</f>
        <v>Register here</v>
      </c>
      <c r="D72" s="70"/>
      <c r="E72" s="70" t="s">
        <v>1117</v>
      </c>
      <c r="F72" s="70" t="s">
        <v>907</v>
      </c>
      <c r="G72" s="554" t="str">
        <f>HYPERLINK("https://docs.google.com/forms/d/1Ddogyv3RuuN7ZFSfZ8SbNsABP1fenZn2I6NGxj7Xvu8/viewform?edit_requested=true","Neverware")</f>
        <v>Neverware</v>
      </c>
    </row>
    <row r="73">
      <c r="A73" s="527">
        <v>42843.0</v>
      </c>
      <c r="B73" s="554" t="str">
        <f>HYPERLINK("https://nycdoe-my.sharepoint.com/personal/ggarcia22_schools_nyc_gov/_layouts/15/guestaccess.aspx?docid=17424a08b7425469fa297a02a1b908995&amp;authkey=Afl_Nj-LXFAAi4SzDEw-IoI","Supporting English Language Learners")</f>
        <v>Supporting English Language Learners</v>
      </c>
      <c r="C73" s="559" t="str">
        <f>HYPERLINK("https://myevents.apple.com/edu/us/en/apple_in_nyc_doe_-_rgst.html?token=e48dDCddNP3lSCqsGqxqrFwMikmCnY_KXAXA1RPB-HX9kI6MZw-GmiSaCl3M_0Sz","Register here")</f>
        <v>Register here</v>
      </c>
      <c r="D73" s="70"/>
      <c r="E73" s="70" t="s">
        <v>1240</v>
      </c>
      <c r="F73" s="70" t="s">
        <v>1054</v>
      </c>
      <c r="G73" s="554" t="str">
        <f>HYPERLINK("https://myevents.apple.com/edu/us/en/apple_in_nyc_doe_-_rgst.html?token=e48dDCddNP3lSCqsGqxqrFwMikmCnY_KXAXA1RPB-HX9kI6MZw-GmiSaCl3M_0Sz","Apple")</f>
        <v>Apple</v>
      </c>
    </row>
    <row r="74">
      <c r="A74" s="527">
        <v>42845.0</v>
      </c>
      <c r="B74" s="554" t="str">
        <f>HYPERLINK("https://drive.google.com/file/d/0BwWNHzIKnnr6UkI2UG9HXzNmZ3c/view?usp=sharing","Windows 10 Training")</f>
        <v>Windows 10 Training</v>
      </c>
      <c r="C74" s="559" t="str">
        <f>HYPERLINK("mailto:spoc.training.at.asi@asisystem.com","Register here via email")</f>
        <v>Register here via email</v>
      </c>
      <c r="D74" s="70"/>
      <c r="E74" s="70" t="s">
        <v>1026</v>
      </c>
      <c r="F74" s="70" t="s">
        <v>1027</v>
      </c>
      <c r="G74" s="554" t="str">
        <f>HYPERLINK("https://drive.google.com/file/d/0BwWNHzIKnnr6UkI2UG9HXzNmZ3c/view","asi")</f>
        <v>asi</v>
      </c>
    </row>
    <row r="75">
      <c r="A75" s="553">
        <v>42846.0</v>
      </c>
      <c r="B75" s="554" t="str">
        <f>HYPERLINK("https://myevents.apple.com/edu/us/en/k12_mac_nyc_doe_-_land.html?token=jHjMZtujNG1QuyoXwG9Dm_5wHoBz88EUEQI-Zp6vLr98Kar15udr5PhqZEDvQtMI","Deploying Mac in the NYC DOE")</f>
        <v>Deploying Mac in the NYC DOE</v>
      </c>
      <c r="C75" s="669" t="str">
        <f>HYPERLINK("https://myevents.apple.com/edu/us/en/k12_mac_nyc_doe_-_rgst.html?token=jHjMZtujNG1QuyoXwG9Dm3l7VyhwIHfoFxtzKXG_LFzKB0_EiCP4J4YRk1cNybjk","Register here")</f>
        <v>Register here</v>
      </c>
      <c r="D75" s="70"/>
      <c r="E75" s="70" t="s">
        <v>1146</v>
      </c>
      <c r="F75" s="70" t="s">
        <v>1252</v>
      </c>
      <c r="G75" s="554" t="str">
        <f>HYPERLINK("https://myevents.apple.com/edu/us/en/k12_mac_nyc_doe_-_land.html?token=jHjMZtujNG1QuyoXwG9Dm_5wHoBz88EUEQI-Zp6vLr98Kar15udr5PhqZEDvQtMI","Apple")</f>
        <v>Apple</v>
      </c>
    </row>
    <row r="76">
      <c r="A76" s="553">
        <v>42846.0</v>
      </c>
      <c r="B76" s="554" t="str">
        <f>HYPERLINK("https://myevents.apple.com/edu/us/en/k12_ipad_nyc_doe_-_land.html?token=KMQhkFdjFr4Gtp7-wcfTTNabT8md0hbP3vbqw1UjK8rNoUTCmYLStj_XrbE1BMOD","Deploying IPad in the NYC DOE")</f>
        <v>Deploying IPad in the NYC DOE</v>
      </c>
      <c r="C76" s="669" t="str">
        <f>HYPERLINK("https://myevents.apple.com/edu/us/en/k12_ipad_nyc_doe_-_rgst.html?token=KMQhkFdjFr4Gtp7-wcfTTIDcXnMMl10rDOUc8I3KiXy7l4VN2uWf-Nq2dLMaN_6G","Register here")</f>
        <v>Register here</v>
      </c>
      <c r="D76" s="70"/>
      <c r="E76" s="70" t="s">
        <v>1146</v>
      </c>
      <c r="F76" s="70" t="s">
        <v>444</v>
      </c>
      <c r="G76" s="554" t="str">
        <f>HYPERLINK("https://myevents.apple.com/edu/us/en/k12_ipad_nyc_doe_-_land.html?token=KMQhkFdjFr4Gtp7-wcfTTNabT8md0hbP3vbqw1UjK8rNoUTCmYLStj_XrbE1BMOD","Apple")</f>
        <v>Apple</v>
      </c>
    </row>
    <row r="77" ht="66.0" customHeight="1">
      <c r="A77" s="553">
        <v>42894.0</v>
      </c>
      <c r="B77" s="554" t="str">
        <f>HYPERLINK("http://www.edxednyc.com/","EDxED NYC 2017 Proposals Needed!")</f>
        <v>EDxED NYC 2017 Proposals Needed!</v>
      </c>
      <c r="C77" s="559" t="str">
        <f>HYPERLINK("http://www.edxednyc.com/proposals","Propose a Workshop here - DEADLINE April 21, 2017")</f>
        <v>Propose a Workshop here - DEADLINE April 21, 2017</v>
      </c>
      <c r="D77" s="70"/>
      <c r="E77" s="70" t="s">
        <v>1259</v>
      </c>
      <c r="F77" s="70" t="s">
        <v>915</v>
      </c>
      <c r="G77" s="554" t="str">
        <f>HYPERLINK("http://www.edxednyc.com/","EDxED")</f>
        <v>EDxED</v>
      </c>
    </row>
    <row r="78">
      <c r="A78" s="553">
        <v>42850.0</v>
      </c>
      <c r="B78" s="554" t="str">
        <f>HYPERLINK("https://drive.google.com/file/d/0B9oUXtH7vl_1Q1ZYeDhWSEtBdWc/view?usp=sharing","Apple &amp; Windows Imaging (Hands On)")</f>
        <v>Apple &amp; Windows Imaging (Hands On)</v>
      </c>
      <c r="C78" s="559" t="str">
        <f>HYPERLINK("https://www.surveygizmo.com/s3/2325967/SPOC-PD-Registration","Register here")</f>
        <v>Register here</v>
      </c>
      <c r="D78" s="70"/>
      <c r="E78" s="661" t="s">
        <v>1202</v>
      </c>
      <c r="F78" s="70" t="s">
        <v>424</v>
      </c>
      <c r="G78" s="572" t="s">
        <v>116</v>
      </c>
    </row>
    <row r="79">
      <c r="A79" s="657">
        <v>42850.0</v>
      </c>
      <c r="B79" s="572" t="s">
        <v>1261</v>
      </c>
      <c r="C79" s="559" t="str">
        <f>HYPERLINK("https://docs.google.com/a/psms161.org/forms/d/e/1FAIpQLSdVdDIW5hzDR73pr7j7j7DCqIodHcC8qfXKsya2EsFMQd9jwQ/viewform","Registration ")</f>
        <v>Registration </v>
      </c>
      <c r="D79" s="70"/>
      <c r="E79" s="70" t="s">
        <v>1262</v>
      </c>
      <c r="F79" s="626" t="s">
        <v>424</v>
      </c>
      <c r="G79" s="626" t="s">
        <v>1263</v>
      </c>
    </row>
    <row r="80">
      <c r="A80" s="527">
        <v>42850.0</v>
      </c>
      <c r="B80" s="554" t="str">
        <f>HYPERLINK("https://www.microsoftevents.com/profile/form/index.cfm?PKformID=0x1426597d0e0","MIE Teacher Academy -- Office 365")</f>
        <v>MIE Teacher Academy -- Office 365</v>
      </c>
      <c r="C80" s="559" t="str">
        <f>HYPERLINK("https://www.microsoftevents.com/profile/form/index.cfm?PKformID=0x1426597d0e0","Register here")</f>
        <v>Register here</v>
      </c>
      <c r="D80" s="70"/>
      <c r="E80" s="672" t="s">
        <v>1264</v>
      </c>
      <c r="F80" s="70" t="s">
        <v>1220</v>
      </c>
      <c r="G80" s="554" t="str">
        <f>HYPERLINK("https://www.microsoftevents.com/profile/form/index.cfm?PKformID=0x1426597d0e0","Microsoft")</f>
        <v>Microsoft</v>
      </c>
    </row>
    <row r="81">
      <c r="A81" s="527">
        <v>42851.0</v>
      </c>
      <c r="B81" s="554" t="str">
        <f>HYPERLINK("https://nycdoe-my.sharepoint.com/personal/ggarcia22_schools_nyc_gov/_layouts/15/guestaccess.aspx?docid=17e308f41bda54a7abf4e9eb6fa02accb&amp;authkey=AUbZ_Q-rTPbNCplpQ4vxMto","Microsoft Office 365 Enhancement Event @ LiveTiles")</f>
        <v>Microsoft Office 365 Enhancement Event @ LiveTiles</v>
      </c>
      <c r="C81" s="559" t="str">
        <f>HYPERLINK("https://livetilesclassroomofthefuture.eventbrite.com/","Register here")</f>
        <v>Register here</v>
      </c>
      <c r="D81" s="70"/>
      <c r="E81" s="672" t="s">
        <v>1270</v>
      </c>
      <c r="F81" s="70" t="s">
        <v>1271</v>
      </c>
      <c r="G81" s="554" t="str">
        <f>HYPERLINK("https://www.livetiles.nyc/products/livetiles-mosaic-k-12/","LiveTiles")</f>
        <v>LiveTiles</v>
      </c>
    </row>
    <row r="82">
      <c r="A82" s="527">
        <v>42852.0</v>
      </c>
      <c r="B82" s="554" t="str">
        <f>HYPERLINK("https://docs.google.com/forms/d/1Ddogyv3RuuN7ZFSfZ8SbNsABP1fenZn2I6NGxj7Xvu8/viewform?edit_requested=true","Cloudready Session")</f>
        <v>Cloudready Session</v>
      </c>
      <c r="C82" s="559" t="str">
        <f>HYPERLINK("https://docs.google.com/forms/d/1Ddogyv3RuuN7ZFSfZ8SbNsABP1fenZn2I6NGxj7Xvu8/viewform?edit_requested=true","Register here")</f>
        <v>Register here</v>
      </c>
      <c r="D82" s="70"/>
      <c r="E82" s="672" t="s">
        <v>1274</v>
      </c>
      <c r="F82" s="70" t="s">
        <v>901</v>
      </c>
      <c r="G82" s="554" t="str">
        <f>HYPERLINK("https://docs.google.com/forms/d/1Ddogyv3RuuN7ZFSfZ8SbNsABP1fenZn2I6NGxj7Xvu8/viewform?edit_requested=true","Neverware")</f>
        <v>Neverware</v>
      </c>
    </row>
    <row r="83">
      <c r="A83" s="553">
        <v>42853.0</v>
      </c>
      <c r="B83" s="554" t="str">
        <f>HYPERLINK("https://drive.google.com/file/d/0BwWNHzIKnnr6UkI2UG9HXzNmZ3c/view?usp=sharing","2017 Apple Training")</f>
        <v>2017 Apple Training</v>
      </c>
      <c r="C83" s="559" t="str">
        <f>HYPERLINK("mailto:spoc.training.at.asi@asisystem.com","Register here via email")</f>
        <v>Register here via email</v>
      </c>
      <c r="D83" s="70"/>
      <c r="E83" s="70" t="s">
        <v>1026</v>
      </c>
      <c r="F83" s="70" t="s">
        <v>1027</v>
      </c>
      <c r="G83" s="554" t="str">
        <f>HYPERLINK("https://drive.google.com/file/d/0BwWNHzIKnnr6UkI2UG9HXzNmZ3c/view","asi")</f>
        <v>asi</v>
      </c>
    </row>
    <row r="84">
      <c r="A84" s="527">
        <v>42853.0</v>
      </c>
      <c r="B84" s="554" t="str">
        <f t="shared" ref="B84:B85" si="4">HYPERLINK("http://www.schooltechnologysummit.com/","#NYCSchoolsTech Summit")</f>
        <v>#NYCSchoolsTech Summit</v>
      </c>
      <c r="C84" s="559" t="str">
        <f>HYPERLINK("https://docs.google.com/forms/d/e/1FAIpQLSc1fMxd0bOuzN0ScTx8no4JEXMlPVvci294llnQXdDNad_p0Q/viewform","Call for Proposals")</f>
        <v>Call for Proposals</v>
      </c>
      <c r="D84" s="70"/>
      <c r="E84" s="677" t="s">
        <v>1288</v>
      </c>
      <c r="F84" s="70" t="s">
        <v>1289</v>
      </c>
      <c r="G84" s="572" t="s">
        <v>116</v>
      </c>
    </row>
    <row r="85">
      <c r="A85" s="527">
        <v>42853.0</v>
      </c>
      <c r="B85" s="554" t="str">
        <f t="shared" si="4"/>
        <v>#NYCSchoolsTech Summit</v>
      </c>
      <c r="C85" s="559" t="str">
        <f>HYPERLINK("https://docs.google.com/forms/d/e/1FAIpQLScpjhvO0OOLFqK-tqugkg5ZdYip6Dqx3gnh4umzZlvX5sy46Q/viewform","Nominations")</f>
        <v>Nominations</v>
      </c>
      <c r="D85" s="70"/>
      <c r="E85" s="677" t="s">
        <v>1292</v>
      </c>
      <c r="F85" s="70" t="s">
        <v>1289</v>
      </c>
      <c r="G85" s="572" t="s">
        <v>116</v>
      </c>
    </row>
    <row r="86">
      <c r="A86" s="527">
        <v>42857.0</v>
      </c>
      <c r="B86" s="554" t="str">
        <f>HYPERLINK("https://www.microsoftevents.com/profile/form/index.cfm?PKformID=0x1418883a17f","MIE Teacher Academy")</f>
        <v>MIE Teacher Academy</v>
      </c>
      <c r="C86" s="559" t="str">
        <f>HYPERLINK("https://www.microsoftevents.com/profile/form/index.cfm?PKformID=0x1418883a17f","Register here")</f>
        <v>Register here</v>
      </c>
      <c r="D86" s="70"/>
      <c r="E86" s="672" t="s">
        <v>1264</v>
      </c>
      <c r="F86" s="70" t="s">
        <v>1220</v>
      </c>
      <c r="G86" s="554" t="str">
        <f>HYPERLINK("https://www.microsoftevents.com/profile/form/index.cfm?PKformID=0x1418883a17f","Microsoft")</f>
        <v>Microsoft</v>
      </c>
    </row>
    <row r="87">
      <c r="A87" s="527">
        <v>42858.0</v>
      </c>
      <c r="B87" s="554" t="str">
        <f>HYPERLINK("https://docs.google.com/forms/d/1Ddogyv3RuuN7ZFSfZ8SbNsABP1fenZn2I6NGxj7Xvu8/viewform?edit_requested=true","Cloudready Session")</f>
        <v>Cloudready Session</v>
      </c>
      <c r="C87" s="559" t="str">
        <f>HYPERLINK("https://docs.google.com/forms/d/1Ddogyv3RuuN7ZFSfZ8SbNsABP1fenZn2I6NGxj7Xvu8/viewform?edit_requested=true","Register here")</f>
        <v>Register here</v>
      </c>
      <c r="D87" s="70"/>
      <c r="E87" s="70" t="s">
        <v>1117</v>
      </c>
      <c r="F87" s="70" t="s">
        <v>1118</v>
      </c>
      <c r="G87" s="554" t="str">
        <f>HYPERLINK("https://docs.google.com/forms/d/1Ddogyv3RuuN7ZFSfZ8SbNsABP1fenZn2I6NGxj7Xvu8/viewform?edit_requested=true","Neverware")</f>
        <v>Neverware</v>
      </c>
    </row>
    <row r="88">
      <c r="A88" s="553">
        <v>42867.0</v>
      </c>
      <c r="B88" s="554" t="str">
        <f>HYPERLINK("https://drive.google.com/file/d/0BwWNHzIKnnr6UkI2UG9HXzNmZ3c/view?usp=sharing","Windows 10 Training")</f>
        <v>Windows 10 Training</v>
      </c>
      <c r="C88" s="559" t="str">
        <f>HYPERLINK("mailto:spoc.training.at.asi@asisystem.com","Register here via email")</f>
        <v>Register here via email</v>
      </c>
      <c r="D88" s="70"/>
      <c r="E88" s="70" t="s">
        <v>1026</v>
      </c>
      <c r="F88" s="70" t="s">
        <v>1027</v>
      </c>
      <c r="G88" s="554" t="str">
        <f>HYPERLINK("https://drive.google.com/file/d/0BwWNHzIKnnr6UkI2UG9HXzNmZ3c/view","asi")</f>
        <v>asi</v>
      </c>
    </row>
    <row r="89">
      <c r="A89" s="553">
        <v>42867.0</v>
      </c>
      <c r="B89" s="554" t="str">
        <f>HYPERLINK("https://docs.google.com/document/d/1P8roLr4b9be08vwTpOwRMdOrSiJj7eArFe-yg9h5oA8/edit?usp=sharing","I'm a SPOC, Now What?")</f>
        <v>I'm a SPOC, Now What?</v>
      </c>
      <c r="C89" s="669" t="s">
        <v>634</v>
      </c>
      <c r="D89" s="70"/>
      <c r="E89" s="70" t="s">
        <v>999</v>
      </c>
      <c r="F89" s="70" t="s">
        <v>531</v>
      </c>
      <c r="G89" s="572" t="s">
        <v>116</v>
      </c>
    </row>
    <row r="90">
      <c r="A90" s="527">
        <v>42867.0</v>
      </c>
      <c r="B90" s="554" t="str">
        <f>HYPERLINK("https://drive.google.com/file/d/0BwWNHzIKnnr6TTM3TkRFdnZOd0k/view?usp=sharing","How to become a Microsoft Office 365 School ")</f>
        <v>How to become a Microsoft Office 365 School </v>
      </c>
      <c r="C90" s="559" t="str">
        <f>HYPERLINK("https://www.surveygizmo.com/s3/2325967/SPOC-PD-Registration","Register here")</f>
        <v>Register here</v>
      </c>
      <c r="D90" s="70"/>
      <c r="E90" s="672" t="s">
        <v>1264</v>
      </c>
      <c r="F90" s="70" t="s">
        <v>531</v>
      </c>
      <c r="G90" s="572" t="s">
        <v>52</v>
      </c>
    </row>
    <row r="91">
      <c r="A91" s="527">
        <v>42872.0</v>
      </c>
      <c r="B91" s="554" t="str">
        <f>HYPERLINK("https://www.smore.com/pt9ep-google-classroom-pd","Google Classroom: Making Teaching Successful and Easier")</f>
        <v>Google Classroom: Making Teaching Successful and Easier</v>
      </c>
      <c r="C91" s="559" t="str">
        <f>HYPERLINK("https://www.eventbrite.com/e/google-classroom-making-teaching-successful-and-easier-tickets-34255028713","Register here")</f>
        <v>Register here</v>
      </c>
      <c r="D91" s="70"/>
      <c r="E91" s="70" t="s">
        <v>1309</v>
      </c>
      <c r="F91" s="70" t="s">
        <v>1310</v>
      </c>
      <c r="G91" s="572" t="s">
        <v>767</v>
      </c>
    </row>
    <row r="92">
      <c r="A92" s="527">
        <v>42873.0</v>
      </c>
      <c r="B92" s="554" t="str">
        <f>HYPERLINK("https://docs.google.com/forms/d/1Ddogyv3RuuN7ZFSfZ8SbNsABP1fenZn2I6NGxj7Xvu8/viewform?edit_requested=true","Cloudready Session")</f>
        <v>Cloudready Session</v>
      </c>
      <c r="C92" s="559" t="str">
        <f>HYPERLINK("https://docs.google.com/forms/d/1Ddogyv3RuuN7ZFSfZ8SbNsABP1fenZn2I6NGxj7Xvu8/viewform?edit_requested=true","Register here")</f>
        <v>Register here</v>
      </c>
      <c r="D92" s="70"/>
      <c r="E92" s="70" t="s">
        <v>1117</v>
      </c>
      <c r="F92" s="70" t="s">
        <v>907</v>
      </c>
      <c r="G92" s="554" t="str">
        <f>HYPERLINK("https://docs.google.com/forms/d/1Ddogyv3RuuN7ZFSfZ8SbNsABP1fenZn2I6NGxj7Xvu8/viewform?edit_requested=true","Neverware")</f>
        <v>Neverware</v>
      </c>
    </row>
    <row r="93" ht="66.0" customHeight="1">
      <c r="A93" s="657">
        <v>42874.0</v>
      </c>
      <c r="B93" s="554" t="str">
        <f>HYPERLINK("https://docs.google.com/document/d/16IgGzRpdBDH38FEVDH5Obgd09gA_6X3Tgbi2oKfQI1A/edit?usp=sharing","Google's G Suite for Education 101 &amp; The New Google Sites")</f>
        <v>Google's G Suite for Education 101 &amp; The New Google Sites</v>
      </c>
      <c r="C93" s="559" t="str">
        <f t="shared" ref="C93:C94" si="5">HYPERLINK("https://docs.google.com/a/psms161.org/forms/d/e/1FAIpQLSdVdDIW5hzDR73pr7j7j7DCqIodHcC8qfXKsya2EsFMQd9jwQ/viewform","Registration")</f>
        <v>Registration</v>
      </c>
      <c r="D93" s="70"/>
      <c r="E93" s="70" t="s">
        <v>1262</v>
      </c>
      <c r="F93" s="227" t="s">
        <v>409</v>
      </c>
      <c r="G93" s="626" t="s">
        <v>736</v>
      </c>
    </row>
    <row r="94" ht="66.0" customHeight="1">
      <c r="A94" s="657">
        <v>42874.0</v>
      </c>
      <c r="B94" s="554" t="str">
        <f>HYPERLINK("https://docs.google.com/document/d/1qVyvTj33O6uCfKEhJEp5IWJp-aBCJ0BQm_Q0o_l493E/edit#bookmark=id.n15309pjwyop","Google Classroom 101")</f>
        <v>Google Classroom 101</v>
      </c>
      <c r="C94" s="559" t="str">
        <f t="shared" si="5"/>
        <v>Registration</v>
      </c>
      <c r="D94" s="70"/>
      <c r="E94" s="70" t="s">
        <v>1262</v>
      </c>
      <c r="F94" s="227" t="s">
        <v>907</v>
      </c>
      <c r="G94" s="626" t="s">
        <v>736</v>
      </c>
    </row>
    <row r="95">
      <c r="A95" s="553">
        <v>42879.0</v>
      </c>
      <c r="B95" s="554" t="str">
        <f>HYPERLINK("https://drive.google.com/file/d/0BwWNHzIKnnr6UkI2UG9HXzNmZ3c/view?usp=sharing","asi - Advance SPOC Training")</f>
        <v>asi - Advance SPOC Training</v>
      </c>
      <c r="C95" s="559" t="str">
        <f>HYPERLINK("mailto:spoc.training.at.asi@asisystem.com","Register here via email")</f>
        <v>Register here via email</v>
      </c>
      <c r="D95" s="70"/>
      <c r="E95" s="70" t="s">
        <v>1026</v>
      </c>
      <c r="F95" s="70" t="s">
        <v>1027</v>
      </c>
      <c r="G95" s="554" t="str">
        <f>HYPERLINK("https://drive.google.com/file/d/0BwWNHzIKnnr6UkI2UG9HXzNmZ3c/view","asi")</f>
        <v>asi</v>
      </c>
    </row>
    <row r="96">
      <c r="A96" s="553">
        <v>42881.0</v>
      </c>
      <c r="B96" s="554" t="str">
        <f>HYPERLINK("https://myevents.apple.com/edu/us/en/k12_mac_nyc_doe_-_land.html?token=jHjMZtujNG1QuyoXwG9Dm8siAuq7AdAUsHvrxN1EoOM3kqnWvN0ULi58-eLZ124A","Deploying Mac in the NYC DOE")</f>
        <v>Deploying Mac in the NYC DOE</v>
      </c>
      <c r="C96" s="559" t="str">
        <f>HYPERLINK("https://myevents.apple.com/edu/us/en/k12_mac_nyc_doe_-_rgst.html?token=jHjMZtujNG1QuyoXwG9Dm7Vll0GTxwjcOFZ0VUhwpReymw8mMur4sk9LITD9H_vP","Register here")</f>
        <v>Register here</v>
      </c>
      <c r="D96" s="70"/>
      <c r="E96" s="70" t="s">
        <v>1146</v>
      </c>
      <c r="F96" s="70" t="s">
        <v>409</v>
      </c>
      <c r="G96" s="554" t="str">
        <f>HYPERLINK("https://myevents.apple.com/edu/us/en/k12_mac_nyc_doe_-_land.html?token=jHjMZtujNG1QuyoXwG9Dm8siAuq7AdAUsHvrxN1EoOM3kqnWvN0ULi58-eLZ124A","Apple")</f>
        <v>Apple</v>
      </c>
    </row>
    <row r="97">
      <c r="A97" s="553">
        <v>42881.0</v>
      </c>
      <c r="B97" s="554" t="str">
        <f>HYPERLINK("https://myevents.apple.com/edu/us/en/k12_ipad_nyc_doe_-_land.html?token=KMQhkFdjFr4Gtp7-wcfTTBmO18A-GEihm62Exlhrm6SrZcI4pI5zhN00IEZySxJW","Deploying IPad in the NYC DOE")</f>
        <v>Deploying IPad in the NYC DOE</v>
      </c>
      <c r="C97" s="559" t="str">
        <f>HYPERLINK("https://myevents.apple.com/edu/us/en/k12_ipad_nyc_doe_-_rgst.html?token=KMQhkFdjFr4Gtp7-wcfTTFgH__NInorQlgo0Q2edDAbMMdBKHZaJtjHhmci8KiCO","Register here")</f>
        <v>Register here</v>
      </c>
      <c r="D97" s="70"/>
      <c r="E97" s="70" t="s">
        <v>1146</v>
      </c>
      <c r="F97" s="70" t="s">
        <v>444</v>
      </c>
      <c r="G97" s="554" t="str">
        <f>HYPERLINK("https://myevents.apple.com/edu/us/en/k12_ipad_nyc_doe_-_land.html?token=KMQhkFdjFr4Gtp7-wcfTTBmO18A-GEihm62Exlhrm6SrZcI4pI5zhN00IEZySxJW","Apple")</f>
        <v>Apple</v>
      </c>
    </row>
    <row r="98">
      <c r="A98" s="657">
        <v>42888.0</v>
      </c>
      <c r="B98" s="554" t="str">
        <f>HYPERLINK("https://docs.google.com/document/d/1u0ajUhfY-JVgZ-7_TnokbUAK4-zjaUQooVEKA8EHQH8/edit?usp=sharing","Create a School Website using Google Sites")</f>
        <v>Create a School Website using Google Sites</v>
      </c>
      <c r="C98" s="683" t="s">
        <v>1200</v>
      </c>
      <c r="D98" s="70"/>
      <c r="E98" s="661" t="s">
        <v>1335</v>
      </c>
      <c r="F98" s="227" t="s">
        <v>1336</v>
      </c>
      <c r="G98" s="626" t="s">
        <v>736</v>
      </c>
    </row>
    <row r="99" ht="66.0" customHeight="1">
      <c r="A99" s="553">
        <v>42892.0</v>
      </c>
      <c r="B99" s="554" t="str">
        <f>HYPERLINK("https://drive.google.com/file/d/0BwWNHzIKnnr6UkI2UG9HXzNmZ3c/view?usp=sharing","2017 Apple Training")</f>
        <v>2017 Apple Training</v>
      </c>
      <c r="C99" s="559" t="str">
        <f>HYPERLINK("mailto:spoc.training.at.asi@asisystem.com","Register here via email")</f>
        <v>Register here via email</v>
      </c>
      <c r="D99" s="70"/>
      <c r="E99" s="70" t="s">
        <v>1026</v>
      </c>
      <c r="F99" s="70" t="s">
        <v>1027</v>
      </c>
      <c r="G99" s="554" t="str">
        <f>HYPERLINK("https://drive.google.com/file/d/0BwWNHzIKnnr6UkI2UG9HXzNmZ3c/view","asi")</f>
        <v>asi</v>
      </c>
    </row>
    <row r="100">
      <c r="A100" s="527">
        <v>42893.0</v>
      </c>
      <c r="B100" s="554" t="str">
        <f>HYPERLINK("https://docs.google.com/forms/d/1Ddogyv3RuuN7ZFSfZ8SbNsABP1fenZn2I6NGxj7Xvu8/viewform?edit_requested=true","Cloudready Session")</f>
        <v>Cloudready Session</v>
      </c>
      <c r="C100" s="559" t="str">
        <f>HYPERLINK("https://docs.google.com/forms/d/1Ddogyv3RuuN7ZFSfZ8SbNsABP1fenZn2I6NGxj7Xvu8/viewform?edit_requested=true","Register here")</f>
        <v>Register here</v>
      </c>
      <c r="D100" s="70"/>
      <c r="E100" s="70" t="s">
        <v>1117</v>
      </c>
      <c r="F100" s="70" t="s">
        <v>1143</v>
      </c>
      <c r="G100" s="554" t="str">
        <f>HYPERLINK("https://docs.google.com/forms/d/1Ddogyv3RuuN7ZFSfZ8SbNsABP1fenZn2I6NGxj7Xvu8/viewform?edit_requested=true","Neverware")</f>
        <v>Neverware</v>
      </c>
    </row>
    <row r="101">
      <c r="A101" s="553">
        <v>42894.0</v>
      </c>
      <c r="B101" s="554" t="str">
        <f>HYPERLINK("http://www.edxednyc.com/","EDxED NYC 2017")</f>
        <v>EDxED NYC 2017</v>
      </c>
      <c r="C101" s="559" t="str">
        <f>HYPERLINK("http://www.edxednyc.com/tickets","Register here")</f>
        <v>Register here</v>
      </c>
      <c r="D101" s="70"/>
      <c r="E101" s="70" t="s">
        <v>1259</v>
      </c>
      <c r="F101" s="70" t="s">
        <v>915</v>
      </c>
      <c r="G101" s="554" t="str">
        <f>HYPERLINK("http://www.edxednyc.com/","EDxED")</f>
        <v>EDxED</v>
      </c>
    </row>
    <row r="102">
      <c r="A102" s="553">
        <v>42894.0</v>
      </c>
      <c r="B102" s="554" t="str">
        <f>HYPERLINK("https://nycdoe-my.sharepoint.com/personal/ggarcia22_schools_nyc_gov/_layouts/15/guestaccess.aspx?docid=102d199399ac24b11ad760b7908ef889c&amp;authkey=AT3G9UW89JrcFeehmk-A1yo","iLearnNYC End Of Year Symposium 2017")</f>
        <v>iLearnNYC End Of Year Symposium 2017</v>
      </c>
      <c r="C102" s="559" t="str">
        <f>HYPERLINK("https://www.eventbrite.com/e/izoneilearnnyc-end-of-year-symposium-june-8th-tickets-31692041750","Register here")</f>
        <v>Register here</v>
      </c>
      <c r="D102" s="70"/>
      <c r="E102" s="70" t="s">
        <v>549</v>
      </c>
      <c r="F102" s="70" t="s">
        <v>550</v>
      </c>
      <c r="G102" s="554" t="str">
        <f>HYPERLINK("https://nycdoe-my.sharepoint.com/personal/ggarcia22_schools_nyc_gov/_layouts/15/guestaccess.aspx?docid=1ab4f453579f74402b4dda012ff27cb1b&amp;authkey=AbYFfCIzzqaVvhBrbHY1yZM","iLearnNYC")</f>
        <v>iLearnNYC</v>
      </c>
    </row>
    <row r="103">
      <c r="A103" s="553">
        <v>42895.0</v>
      </c>
      <c r="B103" s="554" t="str">
        <f>HYPERLINK("https://drive.google.com/file/d/0BwWNHzIKnnr6UkI2UG9HXzNmZ3c/view?usp=sharing","asi - SPOC Training")</f>
        <v>asi - SPOC Training</v>
      </c>
      <c r="C103" s="559" t="str">
        <f>HYPERLINK("mailto:spoc.training.at.asi@asisystem.com","Register here via email")</f>
        <v>Register here via email</v>
      </c>
      <c r="D103" s="70"/>
      <c r="E103" s="70" t="s">
        <v>1026</v>
      </c>
      <c r="F103" s="70" t="s">
        <v>1027</v>
      </c>
      <c r="G103" s="554" t="str">
        <f>HYPERLINK("https://drive.google.com/file/d/0BwWNHzIKnnr6UkI2UG9HXzNmZ3c/view","asi")</f>
        <v>asi</v>
      </c>
    </row>
    <row r="104">
      <c r="A104" s="527">
        <v>42901.0</v>
      </c>
      <c r="B104" s="554" t="str">
        <f>HYPERLINK("https://docs.google.com/forms/d/1Ddogyv3RuuN7ZFSfZ8SbNsABP1fenZn2I6NGxj7Xvu8/viewform?edit_requested=true","Cloudready Session")</f>
        <v>Cloudready Session</v>
      </c>
      <c r="C104" s="559" t="str">
        <f>HYPERLINK("https://docs.google.com/forms/d/1Ddogyv3RuuN7ZFSfZ8SbNsABP1fenZn2I6NGxj7Xvu8/viewform?edit_requested=true","Register here")</f>
        <v>Register here</v>
      </c>
      <c r="D104" s="70"/>
      <c r="E104" s="70" t="s">
        <v>1117</v>
      </c>
      <c r="F104" s="70" t="s">
        <v>1118</v>
      </c>
      <c r="G104" s="554" t="str">
        <f>HYPERLINK("https://docs.google.com/forms/d/1Ddogyv3RuuN7ZFSfZ8SbNsABP1fenZn2I6NGxj7Xvu8/viewform?edit_requested=true","Neverware")</f>
        <v>Neverware</v>
      </c>
    </row>
    <row r="105">
      <c r="A105" s="527">
        <v>42902.0</v>
      </c>
      <c r="B105" s="554" t="str">
        <f>HYPERLINK("https://myevents.apple.com/edu/us/en/k12_mac_nyc_doe_-_land.html?token=jHjMZtujNG1QuyoXwG9Dm0WNZ_qiyS-2iALYlDITa-vZOJkSjux_zIEbRhpo3hGB","Deploying Mac in the NYC DOE")</f>
        <v>Deploying Mac in the NYC DOE</v>
      </c>
      <c r="C105" s="559" t="str">
        <f>HYPERLINK("https://myevents.apple.com/edu/us/en/k12_mac_nyc_doe_-_rgst.html?token=jHjMZtujNG1QuyoXwG9Dm7DUa3VN-6E579xSvxavGGIAdsRmysOJUrQR3vZexbQN","Register here")</f>
        <v>Register here</v>
      </c>
      <c r="D105" s="70"/>
      <c r="E105" s="70" t="s">
        <v>1146</v>
      </c>
      <c r="F105" s="70" t="s">
        <v>409</v>
      </c>
      <c r="G105" s="554" t="str">
        <f>HYPERLINK("https://myevents.apple.com/edu/us/en/k12_mac_nyc_doe_-_land.html?token=jHjMZtujNG1QuyoXwG9Dm0WNZ_qiyS-2iALYlDITa-vZOJkSjux_zIEbRhpo3hGB","Apple")</f>
        <v>Apple</v>
      </c>
    </row>
    <row r="106">
      <c r="A106" s="553">
        <v>42902.0</v>
      </c>
      <c r="B106" s="554" t="str">
        <f>HYPERLINK("https://myevents.apple.com/edu/us/en/k12_ipad_nyc_doe_-_land.html?token=KMQhkFdjFr4Gtp7-wcfTTJhK6UNnERpi2zL2kOwX6dzVRkQTsbqpiyh-mPmqedvz","Deploying IPad in the NYC DOE")</f>
        <v>Deploying IPad in the NYC DOE</v>
      </c>
      <c r="C106" s="559" t="str">
        <f>HYPERLINK("https://myevents.apple.com/edu/us/en/k12_ipad_nyc_doe_-_rgst.html?token=KMQhkFdjFr4Gtp7-wcfTTPPdk-WohlG4EgaVsyqDYBR3QSpX1Fez-yIXis4gA1e1","Register here")</f>
        <v>Register here</v>
      </c>
      <c r="D106" s="70"/>
      <c r="E106" s="70" t="s">
        <v>1146</v>
      </c>
      <c r="F106" s="70" t="s">
        <v>444</v>
      </c>
      <c r="G106" s="554" t="str">
        <f>HYPERLINK("https://myevents.apple.com/edu/us/en/k12_ipad_nyc_doe_-_land.html?token=KMQhkFdjFr4Gtp7-wcfTTJhK6UNnERpi2zL2kOwX6dzVRkQTsbqpiyh-mPmqedvz","Apple")</f>
        <v>Apple</v>
      </c>
    </row>
    <row r="107">
      <c r="A107" s="553">
        <v>42942.0</v>
      </c>
      <c r="B107" s="554" t="str">
        <f>HYPERLINK("http://www.schooltechnologysummit.com/","#NYCSchoolsTech Summit")</f>
        <v>#NYCSchoolsTech Summit</v>
      </c>
      <c r="C107" s="559" t="str">
        <f>HYPERLINK("https://cms.erepublic.com/common/resources?appCore=/common/forms/ajax_event/48688&amp;product_id=48688","Register here")</f>
        <v>Register here</v>
      </c>
      <c r="D107" s="70" t="s">
        <v>1389</v>
      </c>
      <c r="E107" s="70" t="s">
        <v>1390</v>
      </c>
      <c r="F107" s="70" t="s">
        <v>1392</v>
      </c>
      <c r="G107" s="572" t="s">
        <v>116</v>
      </c>
    </row>
    <row r="108" ht="66.0" customHeight="1">
      <c r="A108" s="553">
        <v>42948.0</v>
      </c>
      <c r="B108" s="554" t="str">
        <f>HYPERLINK("https://www.eventbrite.com/e/news-literacy-edcamp-tickets-35965602084","News Literacy EdCamp")</f>
        <v>News Literacy EdCamp</v>
      </c>
      <c r="C108" s="554" t="str">
        <f>HYPERLINK("https://www.eventbrite.com/e/news-literacy-edcamp-tickets-35965602084","Register here")</f>
        <v>Register here</v>
      </c>
      <c r="D108" s="70" t="s">
        <v>1398</v>
      </c>
      <c r="E108" s="70" t="s">
        <v>1400</v>
      </c>
      <c r="F108" s="70" t="s">
        <v>1401</v>
      </c>
      <c r="G108" s="554" t="str">
        <f>HYPERLINK("http://www.thenewsliteracyproject.org/","News Literacy Project")</f>
        <v>News Literacy Project</v>
      </c>
    </row>
    <row r="109" ht="66.0" customHeight="1">
      <c r="A109" s="536">
        <v>42951.0</v>
      </c>
      <c r="B109" s="703" t="s">
        <v>829</v>
      </c>
      <c r="C109" s="535" t="s">
        <v>517</v>
      </c>
      <c r="D109" s="70" t="s">
        <v>834</v>
      </c>
      <c r="E109" s="70" t="s">
        <v>908</v>
      </c>
      <c r="F109" s="70" t="s">
        <v>955</v>
      </c>
      <c r="G109" s="529" t="s">
        <v>832</v>
      </c>
    </row>
    <row r="110">
      <c r="C110" s="705"/>
    </row>
    <row r="111">
      <c r="C111" s="705"/>
    </row>
    <row r="112">
      <c r="C112" s="705"/>
    </row>
    <row r="113">
      <c r="C113" s="705"/>
    </row>
    <row r="114">
      <c r="C114" s="705"/>
    </row>
    <row r="115">
      <c r="C115" s="705"/>
    </row>
    <row r="116">
      <c r="C116" s="705"/>
    </row>
    <row r="117">
      <c r="C117" s="705"/>
    </row>
    <row r="118">
      <c r="C118" s="705"/>
    </row>
    <row r="119">
      <c r="C119" s="705"/>
    </row>
    <row r="120">
      <c r="C120" s="705"/>
    </row>
    <row r="121">
      <c r="C121" s="705"/>
    </row>
    <row r="122">
      <c r="C122" s="705"/>
    </row>
    <row r="123">
      <c r="C123" s="705"/>
    </row>
    <row r="124">
      <c r="C124" s="705"/>
    </row>
    <row r="125">
      <c r="C125" s="705"/>
    </row>
    <row r="126">
      <c r="C126" s="705"/>
    </row>
    <row r="127">
      <c r="C127" s="705"/>
    </row>
    <row r="128">
      <c r="C128" s="705"/>
    </row>
    <row r="129">
      <c r="C129" s="705"/>
    </row>
    <row r="130">
      <c r="C130" s="705"/>
    </row>
    <row r="131">
      <c r="C131" s="705"/>
    </row>
    <row r="132">
      <c r="C132" s="705"/>
    </row>
    <row r="133">
      <c r="C133" s="705"/>
    </row>
    <row r="134">
      <c r="C134" s="705"/>
    </row>
    <row r="135">
      <c r="C135" s="705"/>
    </row>
    <row r="136">
      <c r="C136" s="705"/>
    </row>
    <row r="137">
      <c r="C137" s="705"/>
    </row>
    <row r="138">
      <c r="C138" s="705"/>
    </row>
    <row r="139">
      <c r="C139" s="705"/>
    </row>
    <row r="140">
      <c r="C140" s="705"/>
    </row>
    <row r="141">
      <c r="C141" s="705"/>
    </row>
    <row r="142">
      <c r="C142" s="705"/>
    </row>
    <row r="143">
      <c r="C143" s="705"/>
    </row>
    <row r="144">
      <c r="C144" s="705"/>
    </row>
    <row r="145">
      <c r="C145" s="705"/>
    </row>
    <row r="146">
      <c r="C146" s="705"/>
    </row>
    <row r="147">
      <c r="C147" s="705"/>
    </row>
    <row r="148">
      <c r="C148" s="705"/>
    </row>
    <row r="149">
      <c r="C149" s="705"/>
    </row>
    <row r="150">
      <c r="C150" s="705"/>
    </row>
    <row r="151">
      <c r="C151" s="705"/>
    </row>
    <row r="152">
      <c r="C152" s="705"/>
    </row>
    <row r="153">
      <c r="C153" s="705"/>
    </row>
    <row r="154">
      <c r="C154" s="705"/>
    </row>
    <row r="155">
      <c r="C155" s="705"/>
    </row>
    <row r="156">
      <c r="C156" s="705"/>
    </row>
    <row r="157">
      <c r="C157" s="705"/>
    </row>
    <row r="158">
      <c r="C158" s="705"/>
    </row>
    <row r="159">
      <c r="C159" s="705"/>
    </row>
    <row r="160">
      <c r="C160" s="705"/>
    </row>
    <row r="161">
      <c r="C161" s="705"/>
    </row>
    <row r="162">
      <c r="C162" s="705"/>
    </row>
    <row r="163">
      <c r="C163" s="705"/>
    </row>
    <row r="164">
      <c r="C164" s="705"/>
    </row>
    <row r="165">
      <c r="C165" s="705"/>
    </row>
    <row r="166">
      <c r="C166" s="705"/>
    </row>
    <row r="167">
      <c r="C167" s="705"/>
    </row>
    <row r="168">
      <c r="C168" s="705"/>
    </row>
    <row r="169">
      <c r="C169" s="705"/>
    </row>
    <row r="170">
      <c r="C170" s="705"/>
    </row>
    <row r="171">
      <c r="C171" s="705"/>
    </row>
    <row r="172">
      <c r="C172" s="705"/>
    </row>
    <row r="173">
      <c r="C173" s="705"/>
    </row>
    <row r="174">
      <c r="C174" s="705"/>
    </row>
    <row r="175">
      <c r="C175" s="705"/>
    </row>
    <row r="176">
      <c r="C176" s="705"/>
    </row>
    <row r="177">
      <c r="C177" s="705"/>
    </row>
    <row r="178">
      <c r="C178" s="705"/>
    </row>
    <row r="179">
      <c r="C179" s="705"/>
    </row>
    <row r="180">
      <c r="C180" s="705"/>
    </row>
    <row r="181">
      <c r="C181" s="705"/>
    </row>
    <row r="182">
      <c r="C182" s="705"/>
    </row>
    <row r="183">
      <c r="C183" s="705"/>
    </row>
    <row r="184">
      <c r="C184" s="705"/>
    </row>
    <row r="185">
      <c r="C185" s="705"/>
    </row>
    <row r="186">
      <c r="C186" s="705"/>
    </row>
    <row r="187">
      <c r="C187" s="705"/>
    </row>
    <row r="188">
      <c r="C188" s="705"/>
    </row>
    <row r="189">
      <c r="C189" s="705"/>
    </row>
    <row r="190">
      <c r="C190" s="705"/>
    </row>
    <row r="191">
      <c r="C191" s="705"/>
    </row>
    <row r="192">
      <c r="C192" s="705"/>
    </row>
    <row r="193">
      <c r="C193" s="705"/>
    </row>
    <row r="194">
      <c r="C194" s="705"/>
    </row>
    <row r="195">
      <c r="C195" s="705"/>
    </row>
    <row r="196">
      <c r="C196" s="705"/>
    </row>
    <row r="197">
      <c r="C197" s="705"/>
    </row>
    <row r="198">
      <c r="C198" s="705"/>
    </row>
    <row r="199">
      <c r="C199" s="705"/>
    </row>
    <row r="200">
      <c r="C200" s="705"/>
    </row>
    <row r="201">
      <c r="C201" s="705"/>
    </row>
    <row r="202">
      <c r="C202" s="705"/>
    </row>
    <row r="203">
      <c r="C203" s="705"/>
    </row>
    <row r="204">
      <c r="C204" s="705"/>
    </row>
    <row r="205">
      <c r="C205" s="705"/>
    </row>
    <row r="206">
      <c r="C206" s="705"/>
    </row>
    <row r="207">
      <c r="C207" s="705"/>
    </row>
    <row r="208">
      <c r="C208" s="705"/>
    </row>
    <row r="209">
      <c r="C209" s="705"/>
    </row>
    <row r="210">
      <c r="C210" s="705"/>
    </row>
    <row r="211">
      <c r="C211" s="705"/>
    </row>
    <row r="212">
      <c r="C212" s="705"/>
    </row>
    <row r="213">
      <c r="C213" s="705"/>
    </row>
    <row r="214">
      <c r="C214" s="705"/>
    </row>
    <row r="215">
      <c r="C215" s="705"/>
    </row>
    <row r="216">
      <c r="C216" s="705"/>
    </row>
    <row r="217">
      <c r="C217" s="705"/>
    </row>
    <row r="218">
      <c r="C218" s="705"/>
    </row>
    <row r="219">
      <c r="C219" s="705"/>
    </row>
    <row r="220">
      <c r="C220" s="705"/>
    </row>
    <row r="221">
      <c r="C221" s="705"/>
    </row>
    <row r="222">
      <c r="C222" s="705"/>
    </row>
    <row r="223">
      <c r="C223" s="705"/>
    </row>
    <row r="224">
      <c r="C224" s="705"/>
    </row>
    <row r="225">
      <c r="C225" s="705"/>
    </row>
    <row r="226">
      <c r="C226" s="705"/>
    </row>
    <row r="227">
      <c r="C227" s="705"/>
    </row>
    <row r="228">
      <c r="C228" s="705"/>
    </row>
    <row r="229">
      <c r="C229" s="705"/>
    </row>
    <row r="230">
      <c r="C230" s="705"/>
    </row>
    <row r="231">
      <c r="C231" s="705"/>
    </row>
    <row r="232">
      <c r="C232" s="705"/>
    </row>
    <row r="233">
      <c r="C233" s="705"/>
    </row>
    <row r="234">
      <c r="C234" s="705"/>
    </row>
    <row r="235">
      <c r="C235" s="705"/>
    </row>
    <row r="236">
      <c r="C236" s="705"/>
    </row>
    <row r="237">
      <c r="C237" s="705"/>
    </row>
    <row r="238">
      <c r="C238" s="705"/>
    </row>
    <row r="239">
      <c r="C239" s="705"/>
    </row>
    <row r="240">
      <c r="C240" s="705"/>
    </row>
    <row r="241">
      <c r="C241" s="705"/>
    </row>
    <row r="242">
      <c r="C242" s="705"/>
    </row>
    <row r="243">
      <c r="C243" s="705"/>
    </row>
    <row r="244">
      <c r="C244" s="705"/>
    </row>
    <row r="245">
      <c r="C245" s="705"/>
    </row>
    <row r="246">
      <c r="C246" s="705"/>
    </row>
    <row r="247">
      <c r="C247" s="705"/>
    </row>
    <row r="248">
      <c r="C248" s="705"/>
    </row>
    <row r="249">
      <c r="C249" s="705"/>
    </row>
    <row r="250">
      <c r="C250" s="705"/>
    </row>
    <row r="251">
      <c r="C251" s="705"/>
    </row>
    <row r="252">
      <c r="C252" s="705"/>
    </row>
    <row r="253">
      <c r="C253" s="705"/>
    </row>
    <row r="254">
      <c r="C254" s="705"/>
    </row>
    <row r="255">
      <c r="C255" s="705"/>
    </row>
    <row r="256">
      <c r="C256" s="705"/>
    </row>
    <row r="257">
      <c r="C257" s="705"/>
    </row>
    <row r="258">
      <c r="C258" s="705"/>
    </row>
    <row r="259">
      <c r="C259" s="705"/>
    </row>
    <row r="260">
      <c r="C260" s="705"/>
    </row>
    <row r="261">
      <c r="C261" s="705"/>
    </row>
    <row r="262">
      <c r="C262" s="705"/>
    </row>
    <row r="263">
      <c r="C263" s="705"/>
    </row>
    <row r="264">
      <c r="C264" s="705"/>
    </row>
    <row r="265">
      <c r="C265" s="705"/>
    </row>
    <row r="266">
      <c r="C266" s="705"/>
    </row>
    <row r="267">
      <c r="C267" s="705"/>
    </row>
    <row r="268">
      <c r="C268" s="705"/>
    </row>
    <row r="269">
      <c r="C269" s="705"/>
    </row>
    <row r="270">
      <c r="C270" s="705"/>
    </row>
    <row r="271">
      <c r="C271" s="705"/>
    </row>
    <row r="272">
      <c r="C272" s="705"/>
    </row>
    <row r="273">
      <c r="C273" s="705"/>
    </row>
    <row r="274">
      <c r="C274" s="705"/>
    </row>
    <row r="275">
      <c r="C275" s="705"/>
    </row>
    <row r="276">
      <c r="C276" s="705"/>
    </row>
    <row r="277">
      <c r="C277" s="705"/>
    </row>
    <row r="278">
      <c r="C278" s="705"/>
    </row>
    <row r="279">
      <c r="C279" s="705"/>
    </row>
    <row r="280">
      <c r="C280" s="705"/>
    </row>
    <row r="281">
      <c r="C281" s="705"/>
    </row>
    <row r="282">
      <c r="C282" s="705"/>
    </row>
    <row r="283">
      <c r="C283" s="705"/>
    </row>
    <row r="284">
      <c r="C284" s="705"/>
    </row>
    <row r="285">
      <c r="C285" s="705"/>
    </row>
    <row r="286">
      <c r="C286" s="705"/>
    </row>
    <row r="287">
      <c r="C287" s="705"/>
    </row>
    <row r="288">
      <c r="C288" s="705"/>
    </row>
    <row r="289">
      <c r="C289" s="705"/>
    </row>
    <row r="290">
      <c r="C290" s="705"/>
    </row>
    <row r="291">
      <c r="C291" s="705"/>
    </row>
    <row r="292">
      <c r="C292" s="705"/>
    </row>
    <row r="293">
      <c r="C293" s="705"/>
    </row>
    <row r="294">
      <c r="C294" s="705"/>
    </row>
    <row r="295">
      <c r="C295" s="705"/>
    </row>
    <row r="296">
      <c r="C296" s="705"/>
    </row>
    <row r="297">
      <c r="C297" s="705"/>
    </row>
    <row r="298">
      <c r="C298" s="705"/>
    </row>
    <row r="299">
      <c r="C299" s="705"/>
    </row>
    <row r="300">
      <c r="C300" s="705"/>
    </row>
    <row r="301">
      <c r="C301" s="705"/>
    </row>
    <row r="302">
      <c r="C302" s="705"/>
    </row>
    <row r="303">
      <c r="C303" s="705"/>
    </row>
    <row r="304">
      <c r="C304" s="705"/>
    </row>
    <row r="305">
      <c r="C305" s="705"/>
    </row>
    <row r="306">
      <c r="C306" s="705"/>
    </row>
    <row r="307">
      <c r="C307" s="705"/>
    </row>
    <row r="308">
      <c r="C308" s="705"/>
    </row>
    <row r="309">
      <c r="C309" s="705"/>
    </row>
    <row r="310">
      <c r="C310" s="705"/>
    </row>
    <row r="311">
      <c r="C311" s="705"/>
    </row>
    <row r="312">
      <c r="C312" s="705"/>
    </row>
    <row r="313">
      <c r="C313" s="705"/>
    </row>
    <row r="314">
      <c r="C314" s="705"/>
    </row>
    <row r="315">
      <c r="C315" s="705"/>
    </row>
    <row r="316">
      <c r="C316" s="705"/>
    </row>
    <row r="317">
      <c r="C317" s="705"/>
    </row>
    <row r="318">
      <c r="C318" s="705"/>
    </row>
    <row r="319">
      <c r="C319" s="705"/>
    </row>
    <row r="320">
      <c r="C320" s="705"/>
    </row>
    <row r="321">
      <c r="C321" s="705"/>
    </row>
    <row r="322">
      <c r="C322" s="705"/>
    </row>
    <row r="323">
      <c r="C323" s="705"/>
    </row>
    <row r="324">
      <c r="C324" s="705"/>
    </row>
    <row r="325">
      <c r="C325" s="705"/>
    </row>
    <row r="326">
      <c r="C326" s="705"/>
    </row>
    <row r="327">
      <c r="C327" s="705"/>
    </row>
    <row r="328">
      <c r="C328" s="705"/>
    </row>
    <row r="329">
      <c r="C329" s="705"/>
    </row>
    <row r="330">
      <c r="C330" s="705"/>
    </row>
    <row r="331">
      <c r="C331" s="705"/>
    </row>
    <row r="332">
      <c r="C332" s="705"/>
    </row>
    <row r="333">
      <c r="C333" s="705"/>
    </row>
    <row r="334">
      <c r="C334" s="705"/>
    </row>
    <row r="335">
      <c r="C335" s="705"/>
    </row>
    <row r="336">
      <c r="C336" s="705"/>
    </row>
    <row r="337">
      <c r="C337" s="705"/>
    </row>
    <row r="338">
      <c r="C338" s="705"/>
    </row>
    <row r="339">
      <c r="C339" s="705"/>
    </row>
    <row r="340">
      <c r="C340" s="705"/>
    </row>
    <row r="341">
      <c r="C341" s="705"/>
    </row>
    <row r="342">
      <c r="C342" s="705"/>
    </row>
    <row r="343">
      <c r="C343" s="705"/>
    </row>
    <row r="344">
      <c r="C344" s="705"/>
    </row>
    <row r="345">
      <c r="C345" s="705"/>
    </row>
    <row r="346">
      <c r="C346" s="705"/>
    </row>
    <row r="347">
      <c r="C347" s="705"/>
    </row>
    <row r="348">
      <c r="C348" s="705"/>
    </row>
    <row r="349">
      <c r="C349" s="705"/>
    </row>
    <row r="350">
      <c r="C350" s="705"/>
    </row>
    <row r="351">
      <c r="C351" s="705"/>
    </row>
    <row r="352">
      <c r="C352" s="705"/>
    </row>
    <row r="353">
      <c r="C353" s="705"/>
    </row>
    <row r="354">
      <c r="C354" s="705"/>
    </row>
    <row r="355">
      <c r="C355" s="705"/>
    </row>
    <row r="356">
      <c r="C356" s="705"/>
    </row>
    <row r="357">
      <c r="C357" s="705"/>
    </row>
    <row r="358">
      <c r="C358" s="705"/>
    </row>
    <row r="359">
      <c r="C359" s="705"/>
    </row>
    <row r="360">
      <c r="C360" s="705"/>
    </row>
    <row r="361">
      <c r="C361" s="705"/>
    </row>
    <row r="362">
      <c r="C362" s="705"/>
    </row>
    <row r="363">
      <c r="C363" s="705"/>
    </row>
    <row r="364">
      <c r="C364" s="705"/>
    </row>
    <row r="365">
      <c r="C365" s="705"/>
    </row>
    <row r="366">
      <c r="C366" s="705"/>
    </row>
    <row r="367">
      <c r="C367" s="705"/>
    </row>
    <row r="368">
      <c r="C368" s="705"/>
    </row>
    <row r="369">
      <c r="C369" s="705"/>
    </row>
    <row r="370">
      <c r="C370" s="705"/>
    </row>
    <row r="371">
      <c r="C371" s="705"/>
    </row>
    <row r="372">
      <c r="C372" s="705"/>
    </row>
    <row r="373">
      <c r="C373" s="705"/>
    </row>
    <row r="374">
      <c r="C374" s="705"/>
    </row>
    <row r="375">
      <c r="C375" s="705"/>
    </row>
    <row r="376">
      <c r="C376" s="705"/>
    </row>
    <row r="377">
      <c r="C377" s="705"/>
    </row>
    <row r="378">
      <c r="C378" s="705"/>
    </row>
    <row r="379">
      <c r="C379" s="705"/>
    </row>
    <row r="380">
      <c r="C380" s="705"/>
    </row>
    <row r="381">
      <c r="C381" s="705"/>
    </row>
    <row r="382">
      <c r="C382" s="705"/>
    </row>
    <row r="383">
      <c r="C383" s="705"/>
    </row>
    <row r="384">
      <c r="C384" s="705"/>
    </row>
    <row r="385">
      <c r="C385" s="705"/>
    </row>
    <row r="386">
      <c r="C386" s="705"/>
    </row>
    <row r="387">
      <c r="C387" s="705"/>
    </row>
    <row r="388">
      <c r="C388" s="705"/>
    </row>
    <row r="389">
      <c r="C389" s="705"/>
    </row>
    <row r="390">
      <c r="C390" s="705"/>
    </row>
    <row r="391">
      <c r="C391" s="705"/>
    </row>
    <row r="392">
      <c r="C392" s="705"/>
    </row>
    <row r="393">
      <c r="C393" s="705"/>
    </row>
    <row r="394">
      <c r="C394" s="705"/>
    </row>
    <row r="395">
      <c r="C395" s="705"/>
    </row>
    <row r="396">
      <c r="C396" s="705"/>
    </row>
    <row r="397">
      <c r="C397" s="705"/>
    </row>
    <row r="398">
      <c r="C398" s="705"/>
    </row>
    <row r="399">
      <c r="C399" s="705"/>
    </row>
    <row r="400">
      <c r="C400" s="705"/>
    </row>
    <row r="401">
      <c r="C401" s="705"/>
    </row>
    <row r="402">
      <c r="C402" s="705"/>
    </row>
    <row r="403">
      <c r="C403" s="705"/>
    </row>
    <row r="404">
      <c r="C404" s="705"/>
    </row>
    <row r="405">
      <c r="C405" s="705"/>
    </row>
    <row r="406">
      <c r="C406" s="705"/>
    </row>
    <row r="407">
      <c r="C407" s="705"/>
    </row>
    <row r="408">
      <c r="C408" s="705"/>
    </row>
    <row r="409">
      <c r="C409" s="705"/>
    </row>
    <row r="410">
      <c r="C410" s="705"/>
    </row>
    <row r="411">
      <c r="C411" s="705"/>
    </row>
    <row r="412">
      <c r="C412" s="705"/>
    </row>
    <row r="413">
      <c r="C413" s="705"/>
    </row>
    <row r="414">
      <c r="C414" s="705"/>
    </row>
    <row r="415">
      <c r="C415" s="705"/>
    </row>
    <row r="416">
      <c r="C416" s="705"/>
    </row>
    <row r="417">
      <c r="C417" s="705"/>
    </row>
    <row r="418">
      <c r="C418" s="705"/>
    </row>
    <row r="419">
      <c r="C419" s="705"/>
    </row>
    <row r="420">
      <c r="C420" s="705"/>
    </row>
    <row r="421">
      <c r="C421" s="705"/>
    </row>
    <row r="422">
      <c r="C422" s="705"/>
    </row>
    <row r="423">
      <c r="C423" s="705"/>
    </row>
    <row r="424">
      <c r="C424" s="705"/>
    </row>
    <row r="425">
      <c r="C425" s="705"/>
    </row>
    <row r="426">
      <c r="C426" s="705"/>
    </row>
    <row r="427">
      <c r="C427" s="705"/>
    </row>
    <row r="428">
      <c r="C428" s="705"/>
    </row>
    <row r="429">
      <c r="C429" s="705"/>
    </row>
    <row r="430">
      <c r="C430" s="705"/>
    </row>
    <row r="431">
      <c r="C431" s="705"/>
    </row>
    <row r="432">
      <c r="C432" s="705"/>
    </row>
    <row r="433">
      <c r="C433" s="705"/>
    </row>
    <row r="434">
      <c r="C434" s="705"/>
    </row>
    <row r="435">
      <c r="C435" s="705"/>
    </row>
    <row r="436">
      <c r="C436" s="705"/>
    </row>
    <row r="437">
      <c r="C437" s="705"/>
    </row>
    <row r="438">
      <c r="C438" s="705"/>
    </row>
    <row r="439">
      <c r="C439" s="705"/>
    </row>
    <row r="440">
      <c r="C440" s="705"/>
    </row>
    <row r="441">
      <c r="C441" s="705"/>
    </row>
    <row r="442">
      <c r="C442" s="705"/>
    </row>
    <row r="443">
      <c r="C443" s="705"/>
    </row>
    <row r="444">
      <c r="C444" s="705"/>
    </row>
    <row r="445">
      <c r="C445" s="705"/>
    </row>
    <row r="446">
      <c r="C446" s="705"/>
    </row>
    <row r="447">
      <c r="C447" s="705"/>
    </row>
    <row r="448">
      <c r="C448" s="705"/>
    </row>
    <row r="449">
      <c r="C449" s="705"/>
    </row>
    <row r="450">
      <c r="C450" s="705"/>
    </row>
    <row r="451">
      <c r="C451" s="705"/>
    </row>
    <row r="452">
      <c r="C452" s="705"/>
    </row>
    <row r="453">
      <c r="C453" s="705"/>
    </row>
    <row r="454">
      <c r="C454" s="705"/>
    </row>
    <row r="455">
      <c r="C455" s="705"/>
    </row>
    <row r="456">
      <c r="C456" s="705"/>
    </row>
    <row r="457">
      <c r="C457" s="705"/>
    </row>
    <row r="458">
      <c r="C458" s="705"/>
    </row>
    <row r="459">
      <c r="C459" s="705"/>
    </row>
    <row r="460">
      <c r="C460" s="705"/>
    </row>
    <row r="461">
      <c r="C461" s="705"/>
    </row>
    <row r="462">
      <c r="C462" s="705"/>
    </row>
    <row r="463">
      <c r="C463" s="705"/>
    </row>
    <row r="464">
      <c r="C464" s="705"/>
    </row>
    <row r="465">
      <c r="C465" s="705"/>
    </row>
    <row r="466">
      <c r="C466" s="705"/>
    </row>
    <row r="467">
      <c r="C467" s="705"/>
    </row>
    <row r="468">
      <c r="C468" s="705"/>
    </row>
    <row r="469">
      <c r="C469" s="705"/>
    </row>
    <row r="470">
      <c r="C470" s="705"/>
    </row>
    <row r="471">
      <c r="C471" s="705"/>
    </row>
    <row r="472">
      <c r="C472" s="705"/>
    </row>
    <row r="473">
      <c r="C473" s="705"/>
    </row>
    <row r="474">
      <c r="C474" s="705"/>
    </row>
    <row r="475">
      <c r="C475" s="705"/>
    </row>
    <row r="476">
      <c r="C476" s="705"/>
    </row>
    <row r="477">
      <c r="C477" s="705"/>
    </row>
    <row r="478">
      <c r="C478" s="705"/>
    </row>
    <row r="479">
      <c r="C479" s="705"/>
    </row>
    <row r="480">
      <c r="C480" s="705"/>
    </row>
    <row r="481">
      <c r="C481" s="705"/>
    </row>
    <row r="482">
      <c r="C482" s="705"/>
    </row>
    <row r="483">
      <c r="C483" s="705"/>
    </row>
    <row r="484">
      <c r="C484" s="705"/>
    </row>
    <row r="485">
      <c r="C485" s="705"/>
    </row>
    <row r="486">
      <c r="C486" s="705"/>
    </row>
    <row r="487">
      <c r="C487" s="705"/>
    </row>
    <row r="488">
      <c r="C488" s="705"/>
    </row>
    <row r="489">
      <c r="C489" s="705"/>
    </row>
    <row r="490">
      <c r="C490" s="705"/>
    </row>
    <row r="491">
      <c r="C491" s="705"/>
    </row>
    <row r="492">
      <c r="C492" s="705"/>
    </row>
    <row r="493">
      <c r="C493" s="705"/>
    </row>
    <row r="494">
      <c r="C494" s="705"/>
    </row>
    <row r="495">
      <c r="C495" s="705"/>
    </row>
    <row r="496">
      <c r="C496" s="705"/>
    </row>
    <row r="497">
      <c r="C497" s="705"/>
    </row>
    <row r="498">
      <c r="C498" s="705"/>
    </row>
    <row r="499">
      <c r="C499" s="705"/>
    </row>
    <row r="500">
      <c r="C500" s="705"/>
    </row>
    <row r="501">
      <c r="C501" s="705"/>
    </row>
    <row r="502">
      <c r="C502" s="705"/>
    </row>
    <row r="503">
      <c r="C503" s="705"/>
    </row>
    <row r="504">
      <c r="C504" s="705"/>
    </row>
    <row r="505">
      <c r="C505" s="705"/>
    </row>
    <row r="506">
      <c r="C506" s="705"/>
    </row>
    <row r="507">
      <c r="C507" s="705"/>
    </row>
    <row r="508">
      <c r="C508" s="705"/>
    </row>
    <row r="509">
      <c r="C509" s="705"/>
    </row>
    <row r="510">
      <c r="C510" s="705"/>
    </row>
    <row r="511">
      <c r="C511" s="705"/>
    </row>
    <row r="512">
      <c r="C512" s="705"/>
    </row>
    <row r="513">
      <c r="C513" s="705"/>
    </row>
    <row r="514">
      <c r="C514" s="705"/>
    </row>
    <row r="515">
      <c r="C515" s="705"/>
    </row>
    <row r="516">
      <c r="C516" s="705"/>
    </row>
    <row r="517">
      <c r="C517" s="705"/>
    </row>
    <row r="518">
      <c r="C518" s="705"/>
    </row>
    <row r="519">
      <c r="C519" s="705"/>
    </row>
    <row r="520">
      <c r="C520" s="705"/>
    </row>
    <row r="521">
      <c r="C521" s="705"/>
    </row>
    <row r="522">
      <c r="C522" s="705"/>
    </row>
    <row r="523">
      <c r="C523" s="705"/>
    </row>
    <row r="524">
      <c r="C524" s="705"/>
    </row>
    <row r="525">
      <c r="C525" s="705"/>
    </row>
    <row r="526">
      <c r="C526" s="705"/>
    </row>
    <row r="527">
      <c r="C527" s="705"/>
    </row>
    <row r="528">
      <c r="C528" s="705"/>
    </row>
    <row r="529">
      <c r="C529" s="705"/>
    </row>
    <row r="530">
      <c r="C530" s="705"/>
    </row>
    <row r="531">
      <c r="C531" s="705"/>
    </row>
    <row r="532">
      <c r="C532" s="705"/>
    </row>
    <row r="533">
      <c r="C533" s="705"/>
    </row>
    <row r="534">
      <c r="C534" s="705"/>
    </row>
    <row r="535">
      <c r="C535" s="705"/>
    </row>
    <row r="536">
      <c r="C536" s="705"/>
    </row>
    <row r="537">
      <c r="C537" s="705"/>
    </row>
    <row r="538">
      <c r="C538" s="705"/>
    </row>
    <row r="539">
      <c r="C539" s="705"/>
    </row>
    <row r="540">
      <c r="C540" s="705"/>
    </row>
    <row r="541">
      <c r="C541" s="705"/>
    </row>
    <row r="542">
      <c r="C542" s="705"/>
    </row>
    <row r="543">
      <c r="C543" s="705"/>
    </row>
    <row r="544">
      <c r="C544" s="705"/>
    </row>
    <row r="545">
      <c r="C545" s="705"/>
    </row>
    <row r="546">
      <c r="C546" s="705"/>
    </row>
    <row r="547">
      <c r="C547" s="705"/>
    </row>
    <row r="548">
      <c r="C548" s="705"/>
    </row>
    <row r="549">
      <c r="C549" s="705"/>
    </row>
    <row r="550">
      <c r="C550" s="705"/>
    </row>
    <row r="551">
      <c r="C551" s="705"/>
    </row>
    <row r="552">
      <c r="C552" s="705"/>
    </row>
    <row r="553">
      <c r="C553" s="705"/>
    </row>
    <row r="554">
      <c r="C554" s="705"/>
    </row>
    <row r="555">
      <c r="C555" s="705"/>
    </row>
    <row r="556">
      <c r="C556" s="705"/>
    </row>
    <row r="557">
      <c r="C557" s="705"/>
    </row>
    <row r="558">
      <c r="C558" s="705"/>
    </row>
    <row r="559">
      <c r="C559" s="705"/>
    </row>
    <row r="560">
      <c r="C560" s="705"/>
    </row>
    <row r="561">
      <c r="C561" s="705"/>
    </row>
    <row r="562">
      <c r="C562" s="705"/>
    </row>
    <row r="563">
      <c r="C563" s="705"/>
    </row>
    <row r="564">
      <c r="C564" s="705"/>
    </row>
    <row r="565">
      <c r="C565" s="705"/>
    </row>
    <row r="566">
      <c r="C566" s="705"/>
    </row>
    <row r="567">
      <c r="C567" s="705"/>
    </row>
    <row r="568">
      <c r="C568" s="705"/>
    </row>
    <row r="569">
      <c r="C569" s="705"/>
    </row>
    <row r="570">
      <c r="C570" s="705"/>
    </row>
    <row r="571">
      <c r="C571" s="705"/>
    </row>
    <row r="572">
      <c r="C572" s="705"/>
    </row>
    <row r="573">
      <c r="C573" s="705"/>
    </row>
    <row r="574">
      <c r="C574" s="705"/>
    </row>
    <row r="575">
      <c r="C575" s="705"/>
    </row>
    <row r="576">
      <c r="C576" s="705"/>
    </row>
    <row r="577">
      <c r="C577" s="705"/>
    </row>
    <row r="578">
      <c r="C578" s="705"/>
    </row>
    <row r="579">
      <c r="C579" s="705"/>
    </row>
    <row r="580">
      <c r="C580" s="705"/>
    </row>
    <row r="581">
      <c r="C581" s="705"/>
    </row>
    <row r="582">
      <c r="C582" s="705"/>
    </row>
    <row r="583">
      <c r="C583" s="705"/>
    </row>
    <row r="584">
      <c r="C584" s="705"/>
    </row>
    <row r="585">
      <c r="C585" s="705"/>
    </row>
    <row r="586">
      <c r="C586" s="705"/>
    </row>
    <row r="587">
      <c r="C587" s="705"/>
    </row>
    <row r="588">
      <c r="C588" s="705"/>
    </row>
    <row r="589">
      <c r="C589" s="705"/>
    </row>
    <row r="590">
      <c r="C590" s="705"/>
    </row>
    <row r="591">
      <c r="C591" s="705"/>
    </row>
    <row r="592">
      <c r="C592" s="705"/>
    </row>
    <row r="593">
      <c r="C593" s="705"/>
    </row>
    <row r="594">
      <c r="C594" s="705"/>
    </row>
    <row r="595">
      <c r="C595" s="705"/>
    </row>
    <row r="596">
      <c r="C596" s="705"/>
    </row>
    <row r="597">
      <c r="C597" s="705"/>
    </row>
    <row r="598">
      <c r="C598" s="705"/>
    </row>
    <row r="599">
      <c r="C599" s="705"/>
    </row>
    <row r="600">
      <c r="C600" s="705"/>
    </row>
    <row r="601">
      <c r="C601" s="705"/>
    </row>
    <row r="602">
      <c r="C602" s="705"/>
    </row>
    <row r="603">
      <c r="C603" s="705"/>
    </row>
    <row r="604">
      <c r="C604" s="705"/>
    </row>
    <row r="605">
      <c r="C605" s="705"/>
    </row>
    <row r="606">
      <c r="C606" s="705"/>
    </row>
    <row r="607">
      <c r="C607" s="705"/>
    </row>
    <row r="608">
      <c r="C608" s="705"/>
    </row>
    <row r="609">
      <c r="C609" s="705"/>
    </row>
    <row r="610">
      <c r="C610" s="705"/>
    </row>
    <row r="611">
      <c r="C611" s="705"/>
    </row>
    <row r="612">
      <c r="C612" s="705"/>
    </row>
    <row r="613">
      <c r="C613" s="705"/>
    </row>
    <row r="614">
      <c r="C614" s="705"/>
    </row>
    <row r="615">
      <c r="C615" s="705"/>
    </row>
    <row r="616">
      <c r="C616" s="705"/>
    </row>
    <row r="617">
      <c r="C617" s="705"/>
    </row>
    <row r="618">
      <c r="C618" s="705"/>
    </row>
    <row r="619">
      <c r="C619" s="705"/>
    </row>
    <row r="620">
      <c r="C620" s="705"/>
    </row>
    <row r="621">
      <c r="C621" s="705"/>
    </row>
    <row r="622">
      <c r="C622" s="705"/>
    </row>
    <row r="623">
      <c r="C623" s="705"/>
    </row>
    <row r="624">
      <c r="C624" s="705"/>
    </row>
    <row r="625">
      <c r="C625" s="705"/>
    </row>
    <row r="626">
      <c r="C626" s="705"/>
    </row>
    <row r="627">
      <c r="C627" s="705"/>
    </row>
    <row r="628">
      <c r="C628" s="705"/>
    </row>
    <row r="629">
      <c r="C629" s="705"/>
    </row>
    <row r="630">
      <c r="C630" s="705"/>
    </row>
    <row r="631">
      <c r="C631" s="705"/>
    </row>
    <row r="632">
      <c r="C632" s="705"/>
    </row>
    <row r="633">
      <c r="C633" s="705"/>
    </row>
    <row r="634">
      <c r="C634" s="705"/>
    </row>
    <row r="635">
      <c r="C635" s="705"/>
    </row>
    <row r="636">
      <c r="C636" s="705"/>
    </row>
    <row r="637">
      <c r="C637" s="705"/>
    </row>
    <row r="638">
      <c r="C638" s="705"/>
    </row>
    <row r="639">
      <c r="C639" s="705"/>
    </row>
    <row r="640">
      <c r="C640" s="705"/>
    </row>
    <row r="641">
      <c r="C641" s="705"/>
    </row>
    <row r="642">
      <c r="C642" s="705"/>
    </row>
    <row r="643">
      <c r="C643" s="705"/>
    </row>
    <row r="644">
      <c r="C644" s="705"/>
    </row>
    <row r="645">
      <c r="C645" s="705"/>
    </row>
    <row r="646">
      <c r="C646" s="705"/>
    </row>
    <row r="647">
      <c r="C647" s="705"/>
    </row>
    <row r="648">
      <c r="C648" s="705"/>
    </row>
    <row r="649">
      <c r="C649" s="705"/>
    </row>
    <row r="650">
      <c r="C650" s="705"/>
    </row>
    <row r="651">
      <c r="C651" s="705"/>
    </row>
    <row r="652">
      <c r="C652" s="705"/>
    </row>
    <row r="653">
      <c r="C653" s="705"/>
    </row>
    <row r="654">
      <c r="C654" s="705"/>
    </row>
    <row r="655">
      <c r="C655" s="705"/>
    </row>
    <row r="656">
      <c r="C656" s="705"/>
    </row>
    <row r="657">
      <c r="C657" s="705"/>
    </row>
    <row r="658">
      <c r="C658" s="705"/>
    </row>
    <row r="659">
      <c r="C659" s="705"/>
    </row>
    <row r="660">
      <c r="C660" s="705"/>
    </row>
    <row r="661">
      <c r="C661" s="705"/>
    </row>
    <row r="662">
      <c r="C662" s="705"/>
    </row>
    <row r="663">
      <c r="C663" s="705"/>
    </row>
    <row r="664">
      <c r="C664" s="705"/>
    </row>
    <row r="665">
      <c r="C665" s="705"/>
    </row>
    <row r="666">
      <c r="C666" s="705"/>
    </row>
    <row r="667">
      <c r="C667" s="705"/>
    </row>
    <row r="668">
      <c r="C668" s="705"/>
    </row>
    <row r="669">
      <c r="C669" s="705"/>
    </row>
    <row r="670">
      <c r="C670" s="705"/>
    </row>
    <row r="671">
      <c r="C671" s="705"/>
    </row>
    <row r="672">
      <c r="C672" s="705"/>
    </row>
    <row r="673">
      <c r="C673" s="705"/>
    </row>
    <row r="674">
      <c r="C674" s="705"/>
    </row>
    <row r="675">
      <c r="C675" s="705"/>
    </row>
    <row r="676">
      <c r="C676" s="705"/>
    </row>
    <row r="677">
      <c r="C677" s="705"/>
    </row>
    <row r="678">
      <c r="C678" s="705"/>
    </row>
    <row r="679">
      <c r="C679" s="705"/>
    </row>
    <row r="680">
      <c r="C680" s="705"/>
    </row>
    <row r="681">
      <c r="C681" s="705"/>
    </row>
    <row r="682">
      <c r="C682" s="705"/>
    </row>
    <row r="683">
      <c r="C683" s="705"/>
    </row>
    <row r="684">
      <c r="C684" s="705"/>
    </row>
    <row r="685">
      <c r="C685" s="705"/>
    </row>
    <row r="686">
      <c r="C686" s="705"/>
    </row>
    <row r="687">
      <c r="C687" s="705"/>
    </row>
    <row r="688">
      <c r="C688" s="705"/>
    </row>
    <row r="689">
      <c r="C689" s="705"/>
    </row>
    <row r="690">
      <c r="C690" s="705"/>
    </row>
    <row r="691">
      <c r="C691" s="705"/>
    </row>
    <row r="692">
      <c r="C692" s="705"/>
    </row>
    <row r="693">
      <c r="C693" s="705"/>
    </row>
    <row r="694">
      <c r="C694" s="705"/>
    </row>
    <row r="695">
      <c r="C695" s="705"/>
    </row>
    <row r="696">
      <c r="C696" s="705"/>
    </row>
    <row r="697">
      <c r="C697" s="705"/>
    </row>
    <row r="698">
      <c r="C698" s="705"/>
    </row>
    <row r="699">
      <c r="C699" s="705"/>
    </row>
    <row r="700">
      <c r="C700" s="705"/>
    </row>
    <row r="701">
      <c r="C701" s="705"/>
    </row>
    <row r="702">
      <c r="C702" s="705"/>
    </row>
    <row r="703">
      <c r="C703" s="705"/>
    </row>
    <row r="704">
      <c r="C704" s="705"/>
    </row>
    <row r="705">
      <c r="C705" s="705"/>
    </row>
    <row r="706">
      <c r="C706" s="705"/>
    </row>
    <row r="707">
      <c r="C707" s="705"/>
    </row>
    <row r="708">
      <c r="C708" s="705"/>
    </row>
    <row r="709">
      <c r="C709" s="705"/>
    </row>
    <row r="710">
      <c r="C710" s="705"/>
    </row>
    <row r="711">
      <c r="C711" s="705"/>
    </row>
    <row r="712">
      <c r="C712" s="705"/>
    </row>
    <row r="713">
      <c r="C713" s="705"/>
    </row>
    <row r="714">
      <c r="C714" s="705"/>
    </row>
    <row r="715">
      <c r="C715" s="705"/>
    </row>
    <row r="716">
      <c r="C716" s="705"/>
    </row>
    <row r="717">
      <c r="C717" s="705"/>
    </row>
    <row r="718">
      <c r="C718" s="705"/>
    </row>
    <row r="719">
      <c r="C719" s="705"/>
    </row>
    <row r="720">
      <c r="C720" s="705"/>
    </row>
    <row r="721">
      <c r="C721" s="705"/>
    </row>
    <row r="722">
      <c r="C722" s="705"/>
    </row>
    <row r="723">
      <c r="C723" s="705"/>
    </row>
    <row r="724">
      <c r="C724" s="705"/>
    </row>
    <row r="725">
      <c r="C725" s="705"/>
    </row>
    <row r="726">
      <c r="C726" s="705"/>
    </row>
    <row r="727">
      <c r="C727" s="705"/>
    </row>
    <row r="728">
      <c r="C728" s="705"/>
    </row>
    <row r="729">
      <c r="C729" s="705"/>
    </row>
    <row r="730">
      <c r="C730" s="705"/>
    </row>
    <row r="731">
      <c r="C731" s="705"/>
    </row>
    <row r="732">
      <c r="C732" s="705"/>
    </row>
    <row r="733">
      <c r="C733" s="705"/>
    </row>
    <row r="734">
      <c r="C734" s="705"/>
    </row>
    <row r="735">
      <c r="C735" s="705"/>
    </row>
    <row r="736">
      <c r="C736" s="705"/>
    </row>
    <row r="737">
      <c r="C737" s="705"/>
    </row>
    <row r="738">
      <c r="C738" s="705"/>
    </row>
    <row r="739">
      <c r="C739" s="705"/>
    </row>
    <row r="740">
      <c r="C740" s="705"/>
    </row>
    <row r="741">
      <c r="C741" s="705"/>
    </row>
    <row r="742">
      <c r="C742" s="705"/>
    </row>
    <row r="743">
      <c r="C743" s="705"/>
    </row>
    <row r="744">
      <c r="C744" s="705"/>
    </row>
    <row r="745">
      <c r="C745" s="705"/>
    </row>
    <row r="746">
      <c r="C746" s="705"/>
    </row>
    <row r="747">
      <c r="C747" s="705"/>
    </row>
    <row r="748">
      <c r="C748" s="705"/>
    </row>
    <row r="749">
      <c r="C749" s="705"/>
    </row>
    <row r="750">
      <c r="C750" s="705"/>
    </row>
    <row r="751">
      <c r="C751" s="705"/>
    </row>
    <row r="752">
      <c r="C752" s="705"/>
    </row>
    <row r="753">
      <c r="C753" s="705"/>
    </row>
    <row r="754">
      <c r="C754" s="705"/>
    </row>
    <row r="755">
      <c r="C755" s="705"/>
    </row>
    <row r="756">
      <c r="C756" s="705"/>
    </row>
    <row r="757">
      <c r="C757" s="705"/>
    </row>
    <row r="758">
      <c r="C758" s="705"/>
    </row>
    <row r="759">
      <c r="C759" s="705"/>
    </row>
    <row r="760">
      <c r="C760" s="705"/>
    </row>
    <row r="761">
      <c r="C761" s="705"/>
    </row>
    <row r="762">
      <c r="C762" s="705"/>
    </row>
    <row r="763">
      <c r="C763" s="705"/>
    </row>
    <row r="764">
      <c r="C764" s="705"/>
    </row>
    <row r="765">
      <c r="C765" s="705"/>
    </row>
    <row r="766">
      <c r="C766" s="705"/>
    </row>
    <row r="767">
      <c r="C767" s="705"/>
    </row>
    <row r="768">
      <c r="C768" s="705"/>
    </row>
    <row r="769">
      <c r="C769" s="705"/>
    </row>
    <row r="770">
      <c r="C770" s="705"/>
    </row>
    <row r="771">
      <c r="C771" s="705"/>
    </row>
    <row r="772">
      <c r="C772" s="705"/>
    </row>
    <row r="773">
      <c r="C773" s="705"/>
    </row>
    <row r="774">
      <c r="C774" s="705"/>
    </row>
    <row r="775">
      <c r="C775" s="705"/>
    </row>
    <row r="776">
      <c r="C776" s="705"/>
    </row>
    <row r="777">
      <c r="C777" s="705"/>
    </row>
    <row r="778">
      <c r="C778" s="705"/>
    </row>
    <row r="779">
      <c r="C779" s="705"/>
    </row>
    <row r="780">
      <c r="C780" s="705"/>
    </row>
    <row r="781">
      <c r="C781" s="705"/>
    </row>
    <row r="782">
      <c r="C782" s="705"/>
    </row>
    <row r="783">
      <c r="C783" s="705"/>
    </row>
    <row r="784">
      <c r="C784" s="705"/>
    </row>
    <row r="785">
      <c r="C785" s="705"/>
    </row>
    <row r="786">
      <c r="C786" s="705"/>
    </row>
    <row r="787">
      <c r="C787" s="705"/>
    </row>
    <row r="788">
      <c r="C788" s="705"/>
    </row>
    <row r="789">
      <c r="C789" s="705"/>
    </row>
    <row r="790">
      <c r="C790" s="705"/>
    </row>
    <row r="791">
      <c r="C791" s="705"/>
    </row>
    <row r="792">
      <c r="C792" s="705"/>
    </row>
    <row r="793">
      <c r="C793" s="705"/>
    </row>
    <row r="794">
      <c r="C794" s="705"/>
    </row>
    <row r="795">
      <c r="C795" s="705"/>
    </row>
    <row r="796">
      <c r="C796" s="705"/>
    </row>
    <row r="797">
      <c r="C797" s="705"/>
    </row>
    <row r="798">
      <c r="C798" s="705"/>
    </row>
    <row r="799">
      <c r="C799" s="705"/>
    </row>
    <row r="800">
      <c r="C800" s="705"/>
    </row>
    <row r="801">
      <c r="C801" s="705"/>
    </row>
    <row r="802">
      <c r="C802" s="705"/>
    </row>
    <row r="803">
      <c r="C803" s="705"/>
    </row>
    <row r="804">
      <c r="C804" s="705"/>
    </row>
    <row r="805">
      <c r="C805" s="705"/>
    </row>
    <row r="806">
      <c r="C806" s="705"/>
    </row>
    <row r="807">
      <c r="C807" s="705"/>
    </row>
    <row r="808">
      <c r="C808" s="705"/>
    </row>
    <row r="809">
      <c r="C809" s="705"/>
    </row>
    <row r="810">
      <c r="C810" s="705"/>
    </row>
    <row r="811">
      <c r="C811" s="705"/>
    </row>
    <row r="812">
      <c r="C812" s="705"/>
    </row>
    <row r="813">
      <c r="C813" s="705"/>
    </row>
    <row r="814">
      <c r="C814" s="705"/>
    </row>
    <row r="815">
      <c r="C815" s="705"/>
    </row>
    <row r="816">
      <c r="C816" s="705"/>
    </row>
    <row r="817">
      <c r="C817" s="705"/>
    </row>
    <row r="818">
      <c r="C818" s="705"/>
    </row>
    <row r="819">
      <c r="C819" s="705"/>
    </row>
    <row r="820">
      <c r="C820" s="705"/>
    </row>
    <row r="821">
      <c r="C821" s="705"/>
    </row>
    <row r="822">
      <c r="C822" s="705"/>
    </row>
    <row r="823">
      <c r="C823" s="705"/>
    </row>
    <row r="824">
      <c r="C824" s="705"/>
    </row>
    <row r="825">
      <c r="C825" s="705"/>
    </row>
    <row r="826">
      <c r="C826" s="705"/>
    </row>
    <row r="827">
      <c r="C827" s="705"/>
    </row>
    <row r="828">
      <c r="C828" s="705"/>
    </row>
    <row r="829">
      <c r="C829" s="705"/>
    </row>
    <row r="830">
      <c r="C830" s="705"/>
    </row>
    <row r="831">
      <c r="C831" s="705"/>
    </row>
    <row r="832">
      <c r="C832" s="705"/>
    </row>
    <row r="833">
      <c r="C833" s="705"/>
    </row>
    <row r="834">
      <c r="C834" s="705"/>
    </row>
    <row r="835">
      <c r="C835" s="705"/>
    </row>
    <row r="836">
      <c r="C836" s="705"/>
    </row>
    <row r="837">
      <c r="C837" s="705"/>
    </row>
    <row r="838">
      <c r="C838" s="705"/>
    </row>
    <row r="839">
      <c r="C839" s="705"/>
    </row>
    <row r="840">
      <c r="C840" s="705"/>
    </row>
    <row r="841">
      <c r="C841" s="705"/>
    </row>
    <row r="842">
      <c r="C842" s="705"/>
    </row>
    <row r="843">
      <c r="C843" s="705"/>
    </row>
    <row r="844">
      <c r="C844" s="705"/>
    </row>
    <row r="845">
      <c r="C845" s="705"/>
    </row>
    <row r="846">
      <c r="C846" s="705"/>
    </row>
    <row r="847">
      <c r="C847" s="705"/>
    </row>
    <row r="848">
      <c r="C848" s="705"/>
    </row>
    <row r="849">
      <c r="C849" s="705"/>
    </row>
    <row r="850">
      <c r="C850" s="705"/>
    </row>
    <row r="851">
      <c r="C851" s="705"/>
    </row>
    <row r="852">
      <c r="C852" s="705"/>
    </row>
    <row r="853">
      <c r="C853" s="705"/>
    </row>
    <row r="854">
      <c r="C854" s="705"/>
    </row>
    <row r="855">
      <c r="C855" s="705"/>
    </row>
    <row r="856">
      <c r="C856" s="705"/>
    </row>
    <row r="857">
      <c r="C857" s="705"/>
    </row>
    <row r="858">
      <c r="C858" s="705"/>
    </row>
    <row r="859">
      <c r="C859" s="705"/>
    </row>
    <row r="860">
      <c r="C860" s="705"/>
    </row>
    <row r="861">
      <c r="C861" s="705"/>
    </row>
    <row r="862">
      <c r="C862" s="705"/>
    </row>
    <row r="863">
      <c r="C863" s="705"/>
    </row>
    <row r="864">
      <c r="C864" s="705"/>
    </row>
    <row r="865">
      <c r="C865" s="705"/>
    </row>
    <row r="866">
      <c r="C866" s="705"/>
    </row>
    <row r="867">
      <c r="C867" s="705"/>
    </row>
    <row r="868">
      <c r="C868" s="705"/>
    </row>
    <row r="869">
      <c r="C869" s="705"/>
    </row>
    <row r="870">
      <c r="C870" s="705"/>
    </row>
    <row r="871">
      <c r="C871" s="705"/>
    </row>
    <row r="872">
      <c r="C872" s="705"/>
    </row>
    <row r="873">
      <c r="C873" s="705"/>
    </row>
    <row r="874">
      <c r="C874" s="705"/>
    </row>
    <row r="875">
      <c r="C875" s="705"/>
    </row>
    <row r="876">
      <c r="C876" s="705"/>
    </row>
    <row r="877">
      <c r="C877" s="705"/>
    </row>
    <row r="878">
      <c r="C878" s="705"/>
    </row>
    <row r="879">
      <c r="C879" s="705"/>
    </row>
    <row r="880">
      <c r="C880" s="705"/>
    </row>
    <row r="881">
      <c r="C881" s="705"/>
    </row>
    <row r="882">
      <c r="C882" s="705"/>
    </row>
    <row r="883">
      <c r="C883" s="705"/>
    </row>
    <row r="884">
      <c r="C884" s="705"/>
    </row>
    <row r="885">
      <c r="C885" s="705"/>
    </row>
    <row r="886">
      <c r="C886" s="705"/>
    </row>
    <row r="887">
      <c r="C887" s="705"/>
    </row>
    <row r="888">
      <c r="C888" s="705"/>
    </row>
    <row r="889">
      <c r="C889" s="705"/>
    </row>
    <row r="890">
      <c r="C890" s="705"/>
    </row>
    <row r="891">
      <c r="C891" s="705"/>
    </row>
    <row r="892">
      <c r="C892" s="705"/>
    </row>
    <row r="893">
      <c r="C893" s="705"/>
    </row>
    <row r="894">
      <c r="C894" s="705"/>
    </row>
    <row r="895">
      <c r="C895" s="705"/>
    </row>
    <row r="896">
      <c r="C896" s="705"/>
    </row>
    <row r="897">
      <c r="C897" s="705"/>
    </row>
    <row r="898">
      <c r="C898" s="705"/>
    </row>
    <row r="899">
      <c r="C899" s="705"/>
    </row>
    <row r="900">
      <c r="C900" s="705"/>
    </row>
    <row r="901">
      <c r="C901" s="705"/>
    </row>
    <row r="902">
      <c r="C902" s="705"/>
    </row>
    <row r="903">
      <c r="C903" s="705"/>
    </row>
    <row r="904">
      <c r="C904" s="705"/>
    </row>
    <row r="905">
      <c r="C905" s="705"/>
    </row>
    <row r="906">
      <c r="C906" s="705"/>
    </row>
    <row r="907">
      <c r="C907" s="705"/>
    </row>
    <row r="908">
      <c r="C908" s="705"/>
    </row>
    <row r="909">
      <c r="C909" s="705"/>
    </row>
    <row r="910">
      <c r="C910" s="705"/>
    </row>
    <row r="911">
      <c r="C911" s="705"/>
    </row>
    <row r="912">
      <c r="C912" s="705"/>
    </row>
    <row r="913">
      <c r="C913" s="705"/>
    </row>
    <row r="914">
      <c r="C914" s="705"/>
    </row>
    <row r="915">
      <c r="C915" s="705"/>
    </row>
    <row r="916">
      <c r="C916" s="705"/>
    </row>
    <row r="917">
      <c r="C917" s="705"/>
    </row>
    <row r="918">
      <c r="C918" s="705"/>
    </row>
    <row r="919">
      <c r="C919" s="705"/>
    </row>
    <row r="920">
      <c r="C920" s="705"/>
    </row>
    <row r="921">
      <c r="C921" s="705"/>
    </row>
    <row r="922">
      <c r="C922" s="705"/>
    </row>
    <row r="923">
      <c r="C923" s="705"/>
    </row>
    <row r="924">
      <c r="C924" s="705"/>
    </row>
    <row r="925">
      <c r="C925" s="705"/>
    </row>
    <row r="926">
      <c r="C926" s="705"/>
    </row>
    <row r="927">
      <c r="C927" s="705"/>
    </row>
    <row r="928">
      <c r="C928" s="705"/>
    </row>
    <row r="929">
      <c r="C929" s="705"/>
    </row>
    <row r="930">
      <c r="C930" s="705"/>
    </row>
    <row r="931">
      <c r="C931" s="705"/>
    </row>
    <row r="932">
      <c r="C932" s="705"/>
    </row>
    <row r="933">
      <c r="C933" s="705"/>
    </row>
    <row r="934">
      <c r="C934" s="705"/>
    </row>
    <row r="935">
      <c r="C935" s="705"/>
    </row>
    <row r="936">
      <c r="C936" s="705"/>
    </row>
    <row r="937">
      <c r="C937" s="705"/>
    </row>
    <row r="938">
      <c r="C938" s="705"/>
    </row>
    <row r="939">
      <c r="C939" s="705"/>
    </row>
    <row r="940">
      <c r="C940" s="705"/>
    </row>
    <row r="941">
      <c r="C941" s="705"/>
    </row>
    <row r="942">
      <c r="C942" s="705"/>
    </row>
    <row r="943">
      <c r="C943" s="705"/>
    </row>
    <row r="944">
      <c r="C944" s="705"/>
    </row>
    <row r="945">
      <c r="C945" s="705"/>
    </row>
    <row r="946">
      <c r="C946" s="705"/>
    </row>
    <row r="947">
      <c r="C947" s="705"/>
    </row>
    <row r="948">
      <c r="C948" s="705"/>
    </row>
    <row r="949">
      <c r="C949" s="705"/>
    </row>
    <row r="950">
      <c r="C950" s="705"/>
    </row>
    <row r="951">
      <c r="C951" s="705"/>
    </row>
    <row r="952">
      <c r="C952" s="705"/>
    </row>
    <row r="953">
      <c r="C953" s="705"/>
    </row>
    <row r="954">
      <c r="C954" s="705"/>
    </row>
    <row r="955">
      <c r="C955" s="705"/>
    </row>
    <row r="956">
      <c r="C956" s="705"/>
    </row>
    <row r="957">
      <c r="C957" s="705"/>
    </row>
    <row r="958">
      <c r="C958" s="705"/>
    </row>
    <row r="959">
      <c r="C959" s="705"/>
    </row>
    <row r="960">
      <c r="C960" s="705"/>
    </row>
    <row r="961">
      <c r="C961" s="705"/>
    </row>
    <row r="962">
      <c r="C962" s="705"/>
    </row>
    <row r="963">
      <c r="C963" s="705"/>
    </row>
    <row r="964">
      <c r="C964" s="705"/>
    </row>
    <row r="965">
      <c r="C965" s="705"/>
    </row>
    <row r="966">
      <c r="C966" s="705"/>
    </row>
    <row r="967">
      <c r="C967" s="705"/>
    </row>
    <row r="968">
      <c r="C968" s="705"/>
    </row>
    <row r="969">
      <c r="C969" s="705"/>
    </row>
    <row r="970">
      <c r="C970" s="705"/>
    </row>
    <row r="971">
      <c r="C971" s="705"/>
    </row>
    <row r="972">
      <c r="C972" s="705"/>
    </row>
    <row r="973">
      <c r="C973" s="705"/>
    </row>
    <row r="974">
      <c r="C974" s="705"/>
    </row>
    <row r="975">
      <c r="C975" s="705"/>
    </row>
    <row r="976">
      <c r="C976" s="705"/>
    </row>
    <row r="977">
      <c r="C977" s="705"/>
    </row>
    <row r="978">
      <c r="C978" s="705"/>
    </row>
    <row r="979">
      <c r="C979" s="705"/>
    </row>
    <row r="980">
      <c r="C980" s="705"/>
    </row>
    <row r="981">
      <c r="C981" s="705"/>
    </row>
    <row r="982">
      <c r="C982" s="705"/>
    </row>
    <row r="983">
      <c r="C983" s="705"/>
    </row>
    <row r="984">
      <c r="C984" s="705"/>
    </row>
    <row r="985">
      <c r="C985" s="705"/>
    </row>
    <row r="986">
      <c r="C986" s="705"/>
    </row>
    <row r="987">
      <c r="C987" s="705"/>
    </row>
    <row r="988">
      <c r="C988" s="705"/>
    </row>
    <row r="989">
      <c r="C989" s="705"/>
    </row>
    <row r="990">
      <c r="C990" s="705"/>
    </row>
    <row r="991">
      <c r="C991" s="705"/>
    </row>
    <row r="992">
      <c r="C992" s="705"/>
    </row>
    <row r="993">
      <c r="C993" s="705"/>
    </row>
    <row r="994">
      <c r="C994" s="705"/>
    </row>
    <row r="995">
      <c r="C995" s="705"/>
    </row>
    <row r="996">
      <c r="C996" s="705"/>
    </row>
    <row r="997">
      <c r="C997" s="705"/>
    </row>
    <row r="998">
      <c r="C998" s="705"/>
    </row>
    <row r="999">
      <c r="C999" s="705"/>
    </row>
    <row r="1000">
      <c r="C1000" s="705"/>
    </row>
    <row r="1001">
      <c r="C1001" s="705"/>
    </row>
    <row r="1002">
      <c r="C1002" s="705"/>
    </row>
    <row r="1003">
      <c r="C1003" s="705"/>
    </row>
    <row r="1004">
      <c r="C1004" s="705"/>
    </row>
    <row r="1005">
      <c r="C1005" s="705"/>
    </row>
  </sheetData>
  <hyperlinks>
    <hyperlink r:id="rId1" ref="B109"/>
    <hyperlink r:id="rId2" ref="G109"/>
  </hyperlinks>
  <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4.43" defaultRowHeight="15.75"/>
  <cols>
    <col customWidth="1" hidden="1" min="1" max="1" width="21.57"/>
    <col customWidth="1" hidden="1" min="2" max="2" width="14.0"/>
    <col customWidth="1" hidden="1" min="3" max="3" width="12.86"/>
    <col customWidth="1" hidden="1" min="4" max="4" width="21.57"/>
    <col customWidth="1" min="5" max="5" width="29.29"/>
    <col customWidth="1" min="6" max="6" width="32.57"/>
    <col customWidth="1" min="7" max="7" width="13.14"/>
    <col customWidth="1" min="8" max="8" width="23.14"/>
    <col customWidth="1" min="9" max="9" width="19.29"/>
    <col customWidth="1" min="10" max="10" width="15.86"/>
    <col customWidth="1" min="11" max="11" width="20.86"/>
    <col customWidth="1" min="12" max="12" width="11.0"/>
    <col customWidth="1" min="13" max="13" width="7.0"/>
    <col customWidth="1" min="14" max="14" width="84.86"/>
    <col customWidth="1" min="15" max="17" width="21.57"/>
  </cols>
  <sheetData>
    <row r="1" ht="36.0" customHeight="1">
      <c r="A1" s="366" t="s">
        <v>0</v>
      </c>
      <c r="B1" s="366" t="s">
        <v>2</v>
      </c>
      <c r="C1" s="366" t="s">
        <v>4</v>
      </c>
      <c r="D1" s="366" t="s">
        <v>6</v>
      </c>
      <c r="E1" s="367" t="s">
        <v>200</v>
      </c>
      <c r="F1" s="368" t="s">
        <v>201</v>
      </c>
      <c r="G1" s="368" t="s">
        <v>202</v>
      </c>
      <c r="H1" s="366" t="s">
        <v>203</v>
      </c>
      <c r="I1" s="368" t="s">
        <v>204</v>
      </c>
      <c r="J1" s="368" t="s">
        <v>205</v>
      </c>
      <c r="K1" s="368" t="s">
        <v>206</v>
      </c>
      <c r="L1" s="368" t="s">
        <v>207</v>
      </c>
      <c r="M1" s="368" t="s">
        <v>22</v>
      </c>
      <c r="N1" s="368" t="s">
        <v>208</v>
      </c>
      <c r="O1" s="368" t="s">
        <v>209</v>
      </c>
      <c r="P1" s="368" t="s">
        <v>973</v>
      </c>
      <c r="Q1" s="560"/>
    </row>
    <row r="2">
      <c r="A2" s="561"/>
      <c r="B2" s="562"/>
      <c r="C2" s="562"/>
      <c r="D2" s="563"/>
      <c r="E2" s="564">
        <v>43501.0</v>
      </c>
      <c r="F2" s="565" t="s">
        <v>445</v>
      </c>
      <c r="G2" s="566" t="s">
        <v>975</v>
      </c>
      <c r="H2" s="567" t="s">
        <v>431</v>
      </c>
      <c r="I2" s="567" t="s">
        <v>976</v>
      </c>
      <c r="J2" s="562" t="s">
        <v>437</v>
      </c>
      <c r="K2" s="567" t="s">
        <v>402</v>
      </c>
      <c r="L2" s="566" t="s">
        <v>438</v>
      </c>
      <c r="M2" s="568" t="s">
        <v>221</v>
      </c>
      <c r="N2" s="569" t="s">
        <v>439</v>
      </c>
      <c r="O2" s="570"/>
      <c r="P2" s="570" t="s">
        <v>221</v>
      </c>
      <c r="Q2" s="571"/>
    </row>
    <row r="3">
      <c r="A3" s="561"/>
      <c r="B3" s="562"/>
      <c r="C3" s="562"/>
      <c r="D3" s="563"/>
      <c r="E3" s="564">
        <v>43501.0</v>
      </c>
      <c r="F3" s="565" t="s">
        <v>447</v>
      </c>
      <c r="G3" s="566" t="s">
        <v>975</v>
      </c>
      <c r="H3" s="567" t="s">
        <v>431</v>
      </c>
      <c r="I3" s="567" t="s">
        <v>444</v>
      </c>
      <c r="J3" s="562" t="s">
        <v>116</v>
      </c>
      <c r="K3" s="567" t="s">
        <v>402</v>
      </c>
      <c r="L3" s="566" t="s">
        <v>447</v>
      </c>
      <c r="M3" s="568" t="s">
        <v>221</v>
      </c>
      <c r="N3" s="569" t="s">
        <v>462</v>
      </c>
      <c r="O3" s="570"/>
      <c r="P3" s="570" t="s">
        <v>221</v>
      </c>
      <c r="Q3" s="571"/>
    </row>
    <row r="4">
      <c r="A4" s="561"/>
      <c r="B4" s="562"/>
      <c r="C4" s="562"/>
      <c r="D4" s="563"/>
      <c r="E4" s="564">
        <v>43501.0</v>
      </c>
      <c r="F4" s="565" t="s">
        <v>447</v>
      </c>
      <c r="G4" s="566" t="s">
        <v>975</v>
      </c>
      <c r="H4" s="567" t="s">
        <v>431</v>
      </c>
      <c r="I4" s="567" t="s">
        <v>444</v>
      </c>
      <c r="J4" s="562" t="s">
        <v>116</v>
      </c>
      <c r="K4" s="567" t="s">
        <v>402</v>
      </c>
      <c r="L4" s="566" t="s">
        <v>447</v>
      </c>
      <c r="M4" s="568" t="s">
        <v>221</v>
      </c>
      <c r="N4" s="569" t="s">
        <v>462</v>
      </c>
      <c r="O4" s="570"/>
      <c r="P4" s="570" t="s">
        <v>221</v>
      </c>
      <c r="Q4" s="571"/>
    </row>
    <row r="5">
      <c r="A5" s="561"/>
      <c r="B5" s="562"/>
      <c r="C5" s="562"/>
      <c r="D5" s="563"/>
      <c r="E5" s="564">
        <v>43503.0</v>
      </c>
      <c r="F5" s="565" t="s">
        <v>447</v>
      </c>
      <c r="G5" s="566" t="s">
        <v>978</v>
      </c>
      <c r="H5" s="567" t="s">
        <v>431</v>
      </c>
      <c r="I5" s="567" t="s">
        <v>409</v>
      </c>
      <c r="J5" s="562" t="s">
        <v>116</v>
      </c>
      <c r="K5" s="567" t="s">
        <v>402</v>
      </c>
      <c r="L5" s="566" t="s">
        <v>447</v>
      </c>
      <c r="M5" s="568" t="s">
        <v>221</v>
      </c>
      <c r="N5" s="569" t="s">
        <v>462</v>
      </c>
      <c r="O5" s="570"/>
      <c r="P5" s="570" t="s">
        <v>221</v>
      </c>
      <c r="Q5" s="571"/>
    </row>
    <row r="6">
      <c r="A6" s="561"/>
      <c r="B6" s="562"/>
      <c r="C6" s="562"/>
      <c r="D6" s="563"/>
      <c r="E6" s="564">
        <v>43503.0</v>
      </c>
      <c r="F6" s="565" t="s">
        <v>445</v>
      </c>
      <c r="G6" s="566" t="s">
        <v>978</v>
      </c>
      <c r="H6" s="567" t="s">
        <v>431</v>
      </c>
      <c r="I6" s="567" t="s">
        <v>444</v>
      </c>
      <c r="J6" s="562" t="s">
        <v>437</v>
      </c>
      <c r="K6" s="567" t="s">
        <v>402</v>
      </c>
      <c r="L6" s="566" t="s">
        <v>438</v>
      </c>
      <c r="M6" s="568" t="s">
        <v>221</v>
      </c>
      <c r="N6" s="569" t="s">
        <v>439</v>
      </c>
      <c r="O6" s="570"/>
      <c r="P6" s="570" t="s">
        <v>221</v>
      </c>
      <c r="Q6" s="571"/>
    </row>
    <row r="7">
      <c r="A7" s="561"/>
      <c r="B7" s="562"/>
      <c r="C7" s="562"/>
      <c r="D7" s="563"/>
      <c r="E7" s="564">
        <v>43503.0</v>
      </c>
      <c r="F7" s="565" t="s">
        <v>445</v>
      </c>
      <c r="G7" s="566" t="s">
        <v>978</v>
      </c>
      <c r="H7" s="567" t="s">
        <v>431</v>
      </c>
      <c r="I7" s="567" t="s">
        <v>444</v>
      </c>
      <c r="J7" s="562" t="s">
        <v>437</v>
      </c>
      <c r="K7" s="567" t="s">
        <v>402</v>
      </c>
      <c r="L7" s="566" t="s">
        <v>438</v>
      </c>
      <c r="M7" s="568" t="s">
        <v>221</v>
      </c>
      <c r="N7" s="569" t="s">
        <v>439</v>
      </c>
      <c r="O7" s="570"/>
      <c r="P7" s="570" t="s">
        <v>221</v>
      </c>
      <c r="Q7" s="571"/>
    </row>
    <row r="8">
      <c r="A8" s="561"/>
      <c r="B8" s="562"/>
      <c r="C8" s="562"/>
      <c r="D8" s="563"/>
      <c r="E8" s="564">
        <v>43508.0</v>
      </c>
      <c r="F8" s="565" t="s">
        <v>445</v>
      </c>
      <c r="G8" s="566" t="s">
        <v>982</v>
      </c>
      <c r="H8" s="567" t="s">
        <v>431</v>
      </c>
      <c r="I8" s="567" t="s">
        <v>976</v>
      </c>
      <c r="J8" s="562" t="s">
        <v>437</v>
      </c>
      <c r="K8" s="567" t="s">
        <v>402</v>
      </c>
      <c r="L8" s="566" t="s">
        <v>438</v>
      </c>
      <c r="M8" s="568" t="s">
        <v>221</v>
      </c>
      <c r="N8" s="569" t="s">
        <v>439</v>
      </c>
      <c r="O8" s="570"/>
      <c r="P8" s="570" t="s">
        <v>221</v>
      </c>
      <c r="Q8" s="571"/>
    </row>
    <row r="9">
      <c r="A9" s="561"/>
      <c r="B9" s="562"/>
      <c r="C9" s="562"/>
      <c r="D9" s="563"/>
      <c r="E9" s="564">
        <v>43508.0</v>
      </c>
      <c r="F9" s="565" t="s">
        <v>447</v>
      </c>
      <c r="G9" s="566" t="s">
        <v>982</v>
      </c>
      <c r="H9" s="567" t="s">
        <v>431</v>
      </c>
      <c r="I9" s="567" t="s">
        <v>444</v>
      </c>
      <c r="J9" s="562" t="s">
        <v>116</v>
      </c>
      <c r="K9" s="567" t="s">
        <v>402</v>
      </c>
      <c r="L9" s="566" t="s">
        <v>447</v>
      </c>
      <c r="M9" s="568" t="s">
        <v>221</v>
      </c>
      <c r="N9" s="569" t="s">
        <v>462</v>
      </c>
      <c r="O9" s="570"/>
      <c r="P9" s="570" t="s">
        <v>221</v>
      </c>
      <c r="Q9" s="571"/>
    </row>
    <row r="10">
      <c r="A10" s="561"/>
      <c r="B10" s="562"/>
      <c r="C10" s="562"/>
      <c r="D10" s="563"/>
      <c r="E10" s="564">
        <v>43508.0</v>
      </c>
      <c r="F10" s="565" t="s">
        <v>447</v>
      </c>
      <c r="G10" s="566" t="s">
        <v>982</v>
      </c>
      <c r="H10" s="567" t="s">
        <v>431</v>
      </c>
      <c r="I10" s="567" t="s">
        <v>444</v>
      </c>
      <c r="J10" s="562" t="s">
        <v>116</v>
      </c>
      <c r="K10" s="567" t="s">
        <v>402</v>
      </c>
      <c r="L10" s="566" t="s">
        <v>447</v>
      </c>
      <c r="M10" s="568" t="s">
        <v>221</v>
      </c>
      <c r="N10" s="569" t="s">
        <v>462</v>
      </c>
      <c r="O10" s="570"/>
      <c r="P10" s="570" t="s">
        <v>221</v>
      </c>
      <c r="Q10" s="571"/>
    </row>
    <row r="11">
      <c r="A11" s="561"/>
      <c r="B11" s="562"/>
      <c r="C11" s="562"/>
      <c r="D11" s="563"/>
      <c r="E11" s="564">
        <v>43522.0</v>
      </c>
      <c r="F11" s="565" t="s">
        <v>445</v>
      </c>
      <c r="G11" s="566" t="s">
        <v>983</v>
      </c>
      <c r="H11" s="567" t="s">
        <v>431</v>
      </c>
      <c r="I11" s="567" t="s">
        <v>976</v>
      </c>
      <c r="J11" s="562" t="s">
        <v>437</v>
      </c>
      <c r="K11" s="567" t="s">
        <v>402</v>
      </c>
      <c r="L11" s="566" t="s">
        <v>438</v>
      </c>
      <c r="M11" s="568" t="s">
        <v>221</v>
      </c>
      <c r="N11" s="569" t="s">
        <v>439</v>
      </c>
      <c r="O11" s="570"/>
      <c r="P11" s="570" t="s">
        <v>221</v>
      </c>
      <c r="Q11" s="571"/>
    </row>
    <row r="12">
      <c r="A12" s="561"/>
      <c r="B12" s="562"/>
      <c r="C12" s="562"/>
      <c r="D12" s="563"/>
      <c r="E12" s="564">
        <v>43522.0</v>
      </c>
      <c r="F12" s="565" t="s">
        <v>447</v>
      </c>
      <c r="G12" s="566" t="s">
        <v>983</v>
      </c>
      <c r="H12" s="567" t="s">
        <v>431</v>
      </c>
      <c r="I12" s="567" t="s">
        <v>444</v>
      </c>
      <c r="J12" s="562" t="s">
        <v>116</v>
      </c>
      <c r="K12" s="567" t="s">
        <v>402</v>
      </c>
      <c r="L12" s="566" t="s">
        <v>447</v>
      </c>
      <c r="M12" s="568" t="s">
        <v>221</v>
      </c>
      <c r="N12" s="569" t="s">
        <v>462</v>
      </c>
      <c r="O12" s="570"/>
      <c r="P12" s="570" t="s">
        <v>221</v>
      </c>
      <c r="Q12" s="571"/>
    </row>
    <row r="13">
      <c r="A13" s="561"/>
      <c r="B13" s="562"/>
      <c r="C13" s="562"/>
      <c r="D13" s="563"/>
      <c r="E13" s="564">
        <v>43522.0</v>
      </c>
      <c r="F13" s="565" t="s">
        <v>447</v>
      </c>
      <c r="G13" s="566" t="s">
        <v>983</v>
      </c>
      <c r="H13" s="567" t="s">
        <v>431</v>
      </c>
      <c r="I13" s="567" t="s">
        <v>444</v>
      </c>
      <c r="J13" s="562" t="s">
        <v>116</v>
      </c>
      <c r="K13" s="567" t="s">
        <v>402</v>
      </c>
      <c r="L13" s="566" t="s">
        <v>447</v>
      </c>
      <c r="M13" s="568" t="s">
        <v>221</v>
      </c>
      <c r="N13" s="569" t="s">
        <v>462</v>
      </c>
      <c r="O13" s="570"/>
      <c r="P13" s="570" t="s">
        <v>221</v>
      </c>
      <c r="Q13" s="571"/>
    </row>
    <row r="14">
      <c r="A14" s="561"/>
      <c r="B14" s="562"/>
      <c r="C14" s="562"/>
      <c r="D14" s="563"/>
      <c r="E14" s="564">
        <v>43524.0</v>
      </c>
      <c r="F14" s="565" t="s">
        <v>445</v>
      </c>
      <c r="G14" s="566" t="s">
        <v>986</v>
      </c>
      <c r="H14" s="567" t="s">
        <v>431</v>
      </c>
      <c r="I14" s="567" t="s">
        <v>976</v>
      </c>
      <c r="J14" s="562" t="s">
        <v>437</v>
      </c>
      <c r="K14" s="567" t="s">
        <v>402</v>
      </c>
      <c r="L14" s="566" t="s">
        <v>438</v>
      </c>
      <c r="M14" s="568" t="s">
        <v>221</v>
      </c>
      <c r="N14" s="569" t="s">
        <v>439</v>
      </c>
      <c r="O14" s="570"/>
      <c r="P14" s="570" t="s">
        <v>221</v>
      </c>
      <c r="Q14" s="571"/>
    </row>
    <row r="15">
      <c r="A15" s="561"/>
      <c r="B15" s="562"/>
      <c r="C15" s="562"/>
      <c r="D15" s="563"/>
      <c r="E15" s="564">
        <v>43524.0</v>
      </c>
      <c r="F15" s="565" t="s">
        <v>414</v>
      </c>
      <c r="G15" s="566" t="s">
        <v>986</v>
      </c>
      <c r="H15" s="567" t="s">
        <v>431</v>
      </c>
      <c r="I15" s="567" t="s">
        <v>444</v>
      </c>
      <c r="J15" s="562" t="s">
        <v>116</v>
      </c>
      <c r="K15" s="567" t="s">
        <v>402</v>
      </c>
      <c r="L15" s="566" t="s">
        <v>987</v>
      </c>
      <c r="M15" s="568"/>
      <c r="N15" s="569" t="s">
        <v>405</v>
      </c>
      <c r="O15" s="570"/>
      <c r="P15" s="570" t="s">
        <v>221</v>
      </c>
      <c r="Q15" s="571"/>
    </row>
    <row r="16" hidden="1">
      <c r="A16" s="574"/>
      <c r="B16" s="575"/>
      <c r="C16" s="575"/>
      <c r="D16" s="575"/>
      <c r="E16" s="576">
        <v>43767.0</v>
      </c>
      <c r="F16" s="541" t="s">
        <v>988</v>
      </c>
      <c r="G16" s="577" t="str">
        <f>HYPERLINK("https://www1.nyc.gov/assets/dcas/downloads/pdf/agencies/CTC%20Application.pdf","Register for DCAS Intro to Digital Accessibility here")</f>
        <v>Register for DCAS Intro to Digital Accessibility here</v>
      </c>
      <c r="H16" s="578" t="s">
        <v>989</v>
      </c>
      <c r="I16" s="578" t="s">
        <v>989</v>
      </c>
      <c r="J16" s="575" t="s">
        <v>990</v>
      </c>
      <c r="K16" s="575"/>
      <c r="L16" s="579"/>
      <c r="M16" s="575"/>
      <c r="N16" s="580"/>
      <c r="O16" s="570"/>
      <c r="P16" s="575"/>
      <c r="Q16" s="581"/>
    </row>
    <row r="17">
      <c r="A17" s="561"/>
      <c r="B17" s="562"/>
      <c r="C17" s="562"/>
      <c r="D17" s="563"/>
      <c r="E17" s="564">
        <v>43524.0</v>
      </c>
      <c r="F17" s="565" t="s">
        <v>445</v>
      </c>
      <c r="G17" s="566" t="s">
        <v>986</v>
      </c>
      <c r="H17" s="567" t="s">
        <v>431</v>
      </c>
      <c r="I17" s="567" t="s">
        <v>976</v>
      </c>
      <c r="J17" s="562" t="s">
        <v>437</v>
      </c>
      <c r="K17" s="567" t="s">
        <v>402</v>
      </c>
      <c r="L17" s="566" t="s">
        <v>438</v>
      </c>
      <c r="M17" s="568" t="s">
        <v>221</v>
      </c>
      <c r="N17" s="569" t="s">
        <v>439</v>
      </c>
      <c r="O17" s="570"/>
      <c r="P17" s="570" t="s">
        <v>221</v>
      </c>
      <c r="Q17" s="571"/>
    </row>
    <row r="18">
      <c r="A18" s="561"/>
      <c r="B18" s="562"/>
      <c r="C18" s="562"/>
      <c r="D18" s="563"/>
      <c r="E18" s="564">
        <v>43524.0</v>
      </c>
      <c r="F18" s="565" t="s">
        <v>414</v>
      </c>
      <c r="G18" s="566" t="s">
        <v>986</v>
      </c>
      <c r="H18" s="567" t="s">
        <v>431</v>
      </c>
      <c r="I18" s="567" t="s">
        <v>444</v>
      </c>
      <c r="J18" s="562" t="s">
        <v>116</v>
      </c>
      <c r="K18" s="567" t="s">
        <v>402</v>
      </c>
      <c r="L18" s="566" t="s">
        <v>987</v>
      </c>
      <c r="M18" s="568"/>
      <c r="N18" s="569" t="s">
        <v>405</v>
      </c>
      <c r="O18" s="570"/>
      <c r="P18" s="570" t="s">
        <v>221</v>
      </c>
      <c r="Q18" s="571"/>
    </row>
    <row r="19">
      <c r="A19" s="561"/>
      <c r="B19" s="562"/>
      <c r="C19" s="562"/>
      <c r="D19" s="563"/>
      <c r="E19" s="564">
        <v>43537.0</v>
      </c>
      <c r="F19" s="565" t="s">
        <v>447</v>
      </c>
      <c r="G19" s="566" t="s">
        <v>992</v>
      </c>
      <c r="H19" s="567" t="s">
        <v>431</v>
      </c>
      <c r="I19" s="567" t="s">
        <v>444</v>
      </c>
      <c r="J19" s="562" t="s">
        <v>116</v>
      </c>
      <c r="K19" s="567" t="s">
        <v>402</v>
      </c>
      <c r="L19" s="566" t="s">
        <v>447</v>
      </c>
      <c r="M19" s="568" t="s">
        <v>221</v>
      </c>
      <c r="N19" s="569" t="s">
        <v>462</v>
      </c>
      <c r="O19" s="570"/>
      <c r="P19" s="570" t="s">
        <v>221</v>
      </c>
      <c r="Q19" s="571"/>
    </row>
    <row r="20">
      <c r="A20" s="561"/>
      <c r="B20" s="562"/>
      <c r="C20" s="562"/>
      <c r="D20" s="563"/>
      <c r="E20" s="564">
        <v>43537.0</v>
      </c>
      <c r="F20" s="565" t="s">
        <v>447</v>
      </c>
      <c r="G20" s="566" t="s">
        <v>992</v>
      </c>
      <c r="H20" s="567" t="s">
        <v>431</v>
      </c>
      <c r="I20" s="567" t="s">
        <v>444</v>
      </c>
      <c r="J20" s="562" t="s">
        <v>116</v>
      </c>
      <c r="K20" s="567" t="s">
        <v>402</v>
      </c>
      <c r="L20" s="566" t="s">
        <v>447</v>
      </c>
      <c r="M20" s="568" t="s">
        <v>221</v>
      </c>
      <c r="N20" s="569" t="s">
        <v>462</v>
      </c>
      <c r="O20" s="570"/>
      <c r="P20" s="570" t="s">
        <v>221</v>
      </c>
      <c r="Q20" s="571"/>
    </row>
    <row r="21">
      <c r="A21" s="561"/>
      <c r="B21" s="562"/>
      <c r="C21" s="562"/>
      <c r="D21" s="563"/>
      <c r="E21" s="564">
        <v>43543.0</v>
      </c>
      <c r="F21" s="565" t="s">
        <v>445</v>
      </c>
      <c r="G21" s="566" t="s">
        <v>993</v>
      </c>
      <c r="H21" s="567" t="s">
        <v>431</v>
      </c>
      <c r="I21" s="567" t="s">
        <v>976</v>
      </c>
      <c r="J21" s="562" t="s">
        <v>437</v>
      </c>
      <c r="K21" s="567" t="s">
        <v>402</v>
      </c>
      <c r="L21" s="566" t="s">
        <v>438</v>
      </c>
      <c r="M21" s="568" t="s">
        <v>221</v>
      </c>
      <c r="N21" s="569" t="s">
        <v>439</v>
      </c>
      <c r="O21" s="570"/>
      <c r="P21" s="570" t="s">
        <v>221</v>
      </c>
      <c r="Q21" s="571"/>
    </row>
    <row r="22">
      <c r="A22" s="561"/>
      <c r="B22" s="562" t="s">
        <v>466</v>
      </c>
      <c r="C22" s="562" t="s">
        <v>467</v>
      </c>
      <c r="D22" s="563" t="s">
        <v>468</v>
      </c>
      <c r="E22" s="576">
        <v>43724.0</v>
      </c>
      <c r="F22" s="541" t="s">
        <v>994</v>
      </c>
      <c r="G22" s="577" t="str">
        <f>HYPERLINK("https://www.echalk.com/dig-in-camps","Register for Sept 16 DigIn Camp: Basic Training")</f>
        <v>Register for Sept 16 DigIn Camp: Basic Training</v>
      </c>
      <c r="H22" s="575" t="s">
        <v>995</v>
      </c>
      <c r="I22" s="575" t="s">
        <v>996</v>
      </c>
      <c r="J22" s="575" t="s">
        <v>997</v>
      </c>
      <c r="K22" s="575" t="s">
        <v>402</v>
      </c>
      <c r="L22" s="577" t="str">
        <f>HYPERLINK("https://docs.google.com/spreadsheets/d/12X-61HfLBxTxAESoAea0X2I4K1R-valRhC9TIkvFTzs/edit#gid=0","DigIn Camp: Basic Training Agenda")</f>
        <v>DigIn Camp: Basic Training Agenda</v>
      </c>
      <c r="M22" s="575" t="s">
        <v>221</v>
      </c>
      <c r="N22" s="575" t="s">
        <v>998</v>
      </c>
      <c r="O22" s="570" t="s">
        <v>428</v>
      </c>
      <c r="P22" s="575" t="s">
        <v>221</v>
      </c>
      <c r="Q22" s="581"/>
    </row>
    <row r="23">
      <c r="A23" s="561"/>
      <c r="B23" s="562" t="s">
        <v>466</v>
      </c>
      <c r="C23" s="562" t="s">
        <v>467</v>
      </c>
      <c r="D23" s="563" t="s">
        <v>468</v>
      </c>
      <c r="E23" s="576">
        <v>43725.0</v>
      </c>
      <c r="F23" s="541" t="s">
        <v>1000</v>
      </c>
      <c r="G23" s="577" t="str">
        <f>HYPERLINK("https://tinyurl.com/y3bng3lo","Register for Sept 17 Staten Island Website Accessibility")</f>
        <v>Register for Sept 17 Staten Island Website Accessibility</v>
      </c>
      <c r="H23" s="575" t="s">
        <v>1001</v>
      </c>
      <c r="I23" s="575" t="s">
        <v>764</v>
      </c>
      <c r="J23" s="575" t="s">
        <v>1002</v>
      </c>
      <c r="K23" s="575" t="s">
        <v>1003</v>
      </c>
      <c r="L23" s="577" t="str">
        <f>HYPERLINK("https://tinyurl.com/y35nhrvr","SI RoadShow Agenda")</f>
        <v>SI RoadShow Agenda</v>
      </c>
      <c r="M23" s="575" t="s">
        <v>221</v>
      </c>
      <c r="N23" s="575" t="s">
        <v>1005</v>
      </c>
      <c r="O23" s="570" t="s">
        <v>428</v>
      </c>
      <c r="P23" s="575" t="s">
        <v>221</v>
      </c>
      <c r="Q23" s="581"/>
    </row>
    <row r="24">
      <c r="A24" s="561"/>
      <c r="B24" s="562" t="s">
        <v>466</v>
      </c>
      <c r="C24" s="562" t="s">
        <v>467</v>
      </c>
      <c r="D24" s="563" t="s">
        <v>468</v>
      </c>
      <c r="E24" s="582">
        <v>43726.0</v>
      </c>
      <c r="F24" s="565" t="s">
        <v>492</v>
      </c>
      <c r="G24" s="583" t="s">
        <v>514</v>
      </c>
      <c r="H24" s="567" t="s">
        <v>470</v>
      </c>
      <c r="I24" s="567" t="s">
        <v>471</v>
      </c>
      <c r="J24" s="562" t="s">
        <v>472</v>
      </c>
      <c r="K24" s="567" t="s">
        <v>494</v>
      </c>
      <c r="L24" s="566" t="s">
        <v>492</v>
      </c>
      <c r="M24" s="568" t="s">
        <v>280</v>
      </c>
      <c r="N24" s="569" t="s">
        <v>495</v>
      </c>
      <c r="O24" s="570" t="s">
        <v>496</v>
      </c>
      <c r="P24" s="570"/>
      <c r="Q24" s="571"/>
    </row>
    <row r="25">
      <c r="A25" s="561"/>
      <c r="B25" s="562" t="s">
        <v>466</v>
      </c>
      <c r="C25" s="562" t="s">
        <v>467</v>
      </c>
      <c r="D25" s="563" t="s">
        <v>468</v>
      </c>
      <c r="E25" s="576">
        <v>43732.0</v>
      </c>
      <c r="F25" s="541" t="s">
        <v>994</v>
      </c>
      <c r="G25" s="577" t="str">
        <f>HYPERLINK("https://www.echalk.com/dig-in-camps","Register for Sept 24 DigIn Camp: Basic Training")</f>
        <v>Register for Sept 24 DigIn Camp: Basic Training</v>
      </c>
      <c r="H25" s="575" t="s">
        <v>1008</v>
      </c>
      <c r="I25" s="575" t="s">
        <v>996</v>
      </c>
      <c r="J25" s="575" t="s">
        <v>437</v>
      </c>
      <c r="K25" s="575" t="s">
        <v>402</v>
      </c>
      <c r="L25" s="577" t="str">
        <f t="shared" ref="L25:L27" si="1">HYPERLINK("https://docs.google.com/spreadsheets/d/12X-61HfLBxTxAESoAea0X2I4K1R-valRhC9TIkvFTzs/edit#gid=0","DigIn Camp: Basic Training Agenda")</f>
        <v>DigIn Camp: Basic Training Agenda</v>
      </c>
      <c r="M25" s="575" t="s">
        <v>221</v>
      </c>
      <c r="N25" s="575" t="s">
        <v>998</v>
      </c>
      <c r="O25" s="570" t="s">
        <v>428</v>
      </c>
      <c r="P25" s="575" t="s">
        <v>221</v>
      </c>
      <c r="Q25" s="581"/>
    </row>
    <row r="26">
      <c r="A26" s="561"/>
      <c r="B26" s="562"/>
      <c r="C26" s="562"/>
      <c r="D26" s="563"/>
      <c r="E26" s="584">
        <v>43733.0</v>
      </c>
      <c r="F26" s="541" t="s">
        <v>994</v>
      </c>
      <c r="G26" s="577" t="str">
        <f>HYPERLINK("https://www.echalk.com/dig-in-camps","Register for Sept 25 DigIn Camp: Basic Training")</f>
        <v>Register for Sept 25 DigIn Camp: Basic Training</v>
      </c>
      <c r="H26" s="575" t="s">
        <v>1008</v>
      </c>
      <c r="I26" s="575" t="s">
        <v>1009</v>
      </c>
      <c r="J26" s="575" t="s">
        <v>437</v>
      </c>
      <c r="K26" s="575" t="s">
        <v>402</v>
      </c>
      <c r="L26" s="577" t="str">
        <f t="shared" si="1"/>
        <v>DigIn Camp: Basic Training Agenda</v>
      </c>
      <c r="M26" s="575" t="s">
        <v>221</v>
      </c>
      <c r="N26" s="575" t="s">
        <v>998</v>
      </c>
      <c r="O26" s="570" t="s">
        <v>428</v>
      </c>
      <c r="P26" s="575" t="s">
        <v>221</v>
      </c>
      <c r="Q26" s="581"/>
    </row>
    <row r="27">
      <c r="A27" s="561"/>
      <c r="B27" s="562" t="s">
        <v>1010</v>
      </c>
      <c r="C27" s="562" t="s">
        <v>1011</v>
      </c>
      <c r="D27" s="585" t="s">
        <v>1012</v>
      </c>
      <c r="E27" s="584">
        <v>43733.0</v>
      </c>
      <c r="F27" s="541" t="s">
        <v>1014</v>
      </c>
      <c r="G27" s="577" t="str">
        <f>HYPERLINK("https://www.echalk.com/dig-in-camps","Register for Sept 25 DigIn Camp: Basic Training &amp; Beyond Basics")</f>
        <v>Register for Sept 25 DigIn Camp: Basic Training &amp; Beyond Basics</v>
      </c>
      <c r="H27" s="575" t="s">
        <v>1008</v>
      </c>
      <c r="I27" s="575" t="s">
        <v>996</v>
      </c>
      <c r="J27" s="575" t="s">
        <v>437</v>
      </c>
      <c r="K27" s="575" t="s">
        <v>402</v>
      </c>
      <c r="L27" s="577" t="str">
        <f t="shared" si="1"/>
        <v>DigIn Camp: Basic Training Agenda</v>
      </c>
      <c r="M27" s="575" t="s">
        <v>221</v>
      </c>
      <c r="N27" s="575" t="s">
        <v>1015</v>
      </c>
      <c r="O27" s="570" t="s">
        <v>428</v>
      </c>
      <c r="P27" s="575" t="s">
        <v>221</v>
      </c>
      <c r="Q27" s="581"/>
    </row>
    <row r="28">
      <c r="A28" s="574"/>
      <c r="B28" s="575"/>
      <c r="C28" s="575"/>
      <c r="D28" s="575"/>
      <c r="E28" s="582">
        <v>43742.0</v>
      </c>
      <c r="F28" s="565" t="s">
        <v>1016</v>
      </c>
      <c r="G28" s="577" t="str">
        <f>HYPERLINK("http://bit.ly/gsuiteworkshops","Register here")</f>
        <v>Register here</v>
      </c>
      <c r="H28" s="575" t="s">
        <v>1017</v>
      </c>
      <c r="I28" s="567" t="s">
        <v>1018</v>
      </c>
      <c r="J28" s="562" t="s">
        <v>1019</v>
      </c>
      <c r="K28" s="567" t="s">
        <v>494</v>
      </c>
      <c r="L28" s="586" t="str">
        <f>HYPERLINK("http://bit.ly/gsuitepd101","Get Going with G Suite 101")</f>
        <v>Get Going with G Suite 101</v>
      </c>
      <c r="M28" s="568" t="s">
        <v>221</v>
      </c>
      <c r="N28" s="569" t="s">
        <v>1020</v>
      </c>
      <c r="O28" s="570" t="s">
        <v>1021</v>
      </c>
      <c r="P28" s="570"/>
      <c r="Q28" s="571"/>
    </row>
    <row r="29">
      <c r="A29" s="561"/>
      <c r="B29" s="562" t="s">
        <v>466</v>
      </c>
      <c r="C29" s="562" t="s">
        <v>467</v>
      </c>
      <c r="D29" s="563" t="s">
        <v>468</v>
      </c>
      <c r="E29" s="582">
        <v>43753.0</v>
      </c>
      <c r="F29" s="565" t="s">
        <v>497</v>
      </c>
      <c r="G29" s="566" t="s">
        <v>514</v>
      </c>
      <c r="H29" s="567" t="s">
        <v>1022</v>
      </c>
      <c r="I29" s="567" t="s">
        <v>1023</v>
      </c>
      <c r="J29" s="562" t="s">
        <v>472</v>
      </c>
      <c r="K29" s="567" t="s">
        <v>1024</v>
      </c>
      <c r="L29" s="566" t="s">
        <v>500</v>
      </c>
      <c r="M29" s="568" t="s">
        <v>280</v>
      </c>
      <c r="N29" s="569" t="s">
        <v>501</v>
      </c>
      <c r="O29" s="570" t="s">
        <v>1025</v>
      </c>
      <c r="P29" s="570"/>
      <c r="Q29" s="571"/>
    </row>
    <row r="30">
      <c r="A30" s="574"/>
      <c r="B30" s="575"/>
      <c r="C30" s="575"/>
      <c r="D30" s="575"/>
      <c r="E30" s="584">
        <v>43753.0</v>
      </c>
      <c r="F30" s="70" t="s">
        <v>253</v>
      </c>
      <c r="G30" s="577" t="str">
        <f>HYPERLINK("https://www.surveygizmo.com/s3/2325967/SPOC-PD-Registration","Register Here")</f>
        <v>Register Here</v>
      </c>
      <c r="H30" s="587" t="s">
        <v>254</v>
      </c>
      <c r="I30" s="587" t="s">
        <v>226</v>
      </c>
      <c r="J30" s="588" t="s">
        <v>116</v>
      </c>
      <c r="K30" s="587" t="s">
        <v>219</v>
      </c>
      <c r="L30" s="586" t="str">
        <f>HYPERLINK("https://nam01.safelinks.protection.outlook.com/ap/w-59584e83/?url=https%3A%2F%2Fnycdoe.sharepoint.com%2F%3Aw%3A%2Fr%2Fsites%2FDIITSPOCSharePoint%2FShared%2520Documents%2FSPOC%2520Meet-up%2FSPOC%2520Meet-Up%2520%2520-%2520Agenda%2520with%2520Andrew%2520Lie"&amp;"bowitz%2520Google.docx%3Fd%3Dw271d6138c79b45fab57f38999b7db52d%26csf%3D1%26e%3DVOzAxj&amp;data=02%7C01%7CNSchepi%40schools.nyc.gov%7Cd7367ac6fc3f425fa11008d721adafa0%7C18492cb7ef45456185710c42e5f7ac07%7C0%7C0%7C637014902163880630&amp;sdata=cMebobvUuTqONm76VLnLvk%"&amp;"2FbRdMCBu2kEG88Wh%2FP7so%3D&amp;reserved=0","SPOC Meet-up G Suite")</f>
        <v>SPOC Meet-up G Suite</v>
      </c>
      <c r="M30" s="588" t="s">
        <v>221</v>
      </c>
      <c r="N30" s="587" t="s">
        <v>222</v>
      </c>
      <c r="O30" s="570" t="s">
        <v>211</v>
      </c>
      <c r="P30" s="570"/>
      <c r="Q30" s="571"/>
    </row>
    <row r="31">
      <c r="A31" s="574"/>
      <c r="B31" s="575"/>
      <c r="C31" s="575"/>
      <c r="D31" s="575"/>
      <c r="E31" s="564">
        <v>43754.0</v>
      </c>
      <c r="F31" s="565" t="s">
        <v>497</v>
      </c>
      <c r="G31" s="566" t="s">
        <v>514</v>
      </c>
      <c r="H31" s="567" t="s">
        <v>1022</v>
      </c>
      <c r="I31" s="567" t="s">
        <v>1023</v>
      </c>
      <c r="J31" s="562" t="s">
        <v>472</v>
      </c>
      <c r="K31" s="567" t="s">
        <v>1024</v>
      </c>
      <c r="L31" s="566" t="s">
        <v>500</v>
      </c>
      <c r="M31" s="568" t="s">
        <v>280</v>
      </c>
      <c r="N31" s="569" t="s">
        <v>501</v>
      </c>
      <c r="O31" s="570" t="s">
        <v>1025</v>
      </c>
      <c r="P31" s="570"/>
      <c r="Q31" s="571"/>
    </row>
    <row r="32">
      <c r="A32" s="561"/>
      <c r="B32" s="562"/>
      <c r="C32" s="562"/>
      <c r="D32" s="563"/>
      <c r="E32" s="564">
        <v>43754.0</v>
      </c>
      <c r="F32" s="589" t="s">
        <v>513</v>
      </c>
      <c r="G32" s="590" t="s">
        <v>514</v>
      </c>
      <c r="H32" s="567" t="s">
        <v>470</v>
      </c>
      <c r="I32" s="567" t="s">
        <v>471</v>
      </c>
      <c r="J32" s="562" t="s">
        <v>472</v>
      </c>
      <c r="K32" s="567" t="s">
        <v>494</v>
      </c>
      <c r="L32" s="591" t="str">
        <f>HYPERLINK("http://s.apple.com/dE3h6U9x7n","Everyone Can Create")</f>
        <v>Everyone Can Create</v>
      </c>
      <c r="M32" s="568" t="s">
        <v>280</v>
      </c>
      <c r="N32" s="569" t="s">
        <v>515</v>
      </c>
      <c r="O32" s="570" t="s">
        <v>516</v>
      </c>
      <c r="P32" s="570"/>
      <c r="Q32" s="571"/>
    </row>
    <row r="33">
      <c r="A33" s="574"/>
      <c r="B33" s="575"/>
      <c r="C33" s="575"/>
      <c r="D33" s="575"/>
      <c r="E33" s="584">
        <v>43756.0</v>
      </c>
      <c r="F33" s="70" t="s">
        <v>1028</v>
      </c>
      <c r="G33" s="577" t="str">
        <f>HYPERLINK("https://www.surveygizmo.com/s3/2325967/SPOC-PD-Registration","Register Here")</f>
        <v>Register Here</v>
      </c>
      <c r="H33" s="587" t="s">
        <v>1029</v>
      </c>
      <c r="I33" s="587" t="s">
        <v>226</v>
      </c>
      <c r="J33" s="588" t="s">
        <v>116</v>
      </c>
      <c r="K33" s="587" t="s">
        <v>219</v>
      </c>
      <c r="L33" s="586" t="str">
        <f>HYPERLINK("https://drive.google.com/open?id=16rMmVYxkbDNBGVYNyzpHCx-A-n4TUprP","SPOC Meet-up")</f>
        <v>SPOC Meet-up</v>
      </c>
      <c r="M33" s="588" t="s">
        <v>221</v>
      </c>
      <c r="N33" s="587" t="s">
        <v>1030</v>
      </c>
      <c r="O33" s="570" t="s">
        <v>211</v>
      </c>
      <c r="P33" s="570"/>
      <c r="Q33" s="571"/>
    </row>
    <row r="34">
      <c r="A34" s="561"/>
      <c r="B34" s="562" t="s">
        <v>1031</v>
      </c>
      <c r="C34" s="562" t="s">
        <v>1032</v>
      </c>
      <c r="D34" s="563" t="s">
        <v>1033</v>
      </c>
      <c r="E34" s="564">
        <v>43756.0</v>
      </c>
      <c r="F34" s="589" t="s">
        <v>1034</v>
      </c>
      <c r="G34" s="583" t="str">
        <f>HYPERLINK("https://www.microsoft.com/en-us/store/event_registration/?eid=1162352438&amp;locid=103261&amp;rtc=1","Register for Oct 18 Microsoft Accessibility")</f>
        <v>Register for Oct 18 Microsoft Accessibility</v>
      </c>
      <c r="H34" s="567" t="s">
        <v>1036</v>
      </c>
      <c r="I34" s="567" t="s">
        <v>1037</v>
      </c>
      <c r="J34" s="562" t="s">
        <v>52</v>
      </c>
      <c r="K34" s="567" t="s">
        <v>1038</v>
      </c>
      <c r="L34" s="591" t="str">
        <f>HYPERLINK("https://nycdoe.sharepoint.com/:w:/s/MicrosoftAccessibility/ETQUlobQ4ERFo01SHHFAmYcB8TEg97Jc0kMCWkvMaghg0w?e=5uX1xE","Empower Classroom Accessibility Agenda")</f>
        <v>Empower Classroom Accessibility Agenda</v>
      </c>
      <c r="M34" s="568"/>
      <c r="N34" s="569" t="s">
        <v>1043</v>
      </c>
      <c r="O34" s="570"/>
      <c r="P34" s="570"/>
      <c r="Q34" s="571"/>
    </row>
    <row r="35">
      <c r="A35" s="561"/>
      <c r="B35" s="562" t="s">
        <v>466</v>
      </c>
      <c r="C35" s="562" t="s">
        <v>467</v>
      </c>
      <c r="D35" s="563" t="s">
        <v>468</v>
      </c>
      <c r="E35" s="564">
        <v>43756.0</v>
      </c>
      <c r="F35" s="589" t="s">
        <v>1034</v>
      </c>
      <c r="G35" s="583" t="str">
        <f>HYPERLINK("https://www.microsoft.com/en-us/store/event_registration/?eid=1162352438&amp;locid=103261&amp;rtc=1","Register Here")</f>
        <v>Register Here</v>
      </c>
      <c r="H35" s="567" t="s">
        <v>1036</v>
      </c>
      <c r="I35" s="567" t="s">
        <v>1037</v>
      </c>
      <c r="J35" s="562" t="s">
        <v>52</v>
      </c>
      <c r="K35" s="567" t="s">
        <v>1038</v>
      </c>
      <c r="L35" s="591"/>
      <c r="M35" s="568"/>
      <c r="N35" s="569" t="s">
        <v>1043</v>
      </c>
      <c r="O35" s="570"/>
      <c r="P35" s="570"/>
      <c r="Q35" s="571"/>
    </row>
    <row r="36">
      <c r="A36" s="592"/>
      <c r="B36" s="593" t="s">
        <v>466</v>
      </c>
      <c r="C36" s="593" t="s">
        <v>467</v>
      </c>
      <c r="D36" s="594" t="s">
        <v>468</v>
      </c>
      <c r="E36" s="576">
        <v>43759.0</v>
      </c>
      <c r="F36" s="541" t="s">
        <v>994</v>
      </c>
      <c r="G36" s="577" t="str">
        <f>HYPERLINK("https://www.echalk.com/dig-in-camps","Register for Oct 21 DigIn Camp: Basic Training")</f>
        <v>Register for Oct 21 DigIn Camp: Basic Training</v>
      </c>
      <c r="H36" s="575" t="s">
        <v>1008</v>
      </c>
      <c r="I36" s="575" t="s">
        <v>996</v>
      </c>
      <c r="J36" s="575" t="s">
        <v>437</v>
      </c>
      <c r="K36" s="575" t="s">
        <v>402</v>
      </c>
      <c r="L36" s="577" t="str">
        <f>HYPERLINK("https://docs.google.com/spreadsheets/d/12X-61HfLBxTxAESoAea0X2I4K1R-valRhC9TIkvFTzs/edit#gid=0","DigIn Camp: Basic Training Agenda")</f>
        <v>DigIn Camp: Basic Training Agenda</v>
      </c>
      <c r="M36" s="575" t="s">
        <v>221</v>
      </c>
      <c r="N36" s="575" t="s">
        <v>998</v>
      </c>
      <c r="O36" s="570" t="s">
        <v>428</v>
      </c>
      <c r="P36" s="575" t="s">
        <v>221</v>
      </c>
      <c r="Q36" s="581"/>
    </row>
    <row r="37">
      <c r="A37" s="561"/>
      <c r="B37" s="562" t="s">
        <v>503</v>
      </c>
      <c r="C37" s="562" t="s">
        <v>504</v>
      </c>
      <c r="D37" s="563" t="s">
        <v>505</v>
      </c>
      <c r="E37" s="582">
        <v>43759.0</v>
      </c>
      <c r="F37" s="565" t="s">
        <v>1044</v>
      </c>
      <c r="G37" s="591" t="str">
        <f>HYPERLINK("https://otis.teq.com/events/preview/14241","Register here")</f>
        <v>Register here</v>
      </c>
      <c r="H37" s="567" t="s">
        <v>1045</v>
      </c>
      <c r="I37" s="567" t="s">
        <v>1046</v>
      </c>
      <c r="J37" s="562" t="s">
        <v>347</v>
      </c>
      <c r="K37" s="567" t="s">
        <v>1047</v>
      </c>
      <c r="L37" s="597"/>
      <c r="M37" s="568" t="s">
        <v>221</v>
      </c>
      <c r="N37" s="567" t="s">
        <v>1048</v>
      </c>
      <c r="O37" s="570"/>
      <c r="P37" s="570"/>
      <c r="Q37" s="571"/>
    </row>
    <row r="38">
      <c r="A38" s="598"/>
      <c r="B38" s="562" t="s">
        <v>466</v>
      </c>
      <c r="C38" s="562" t="s">
        <v>467</v>
      </c>
      <c r="D38" s="600" t="s">
        <v>468</v>
      </c>
      <c r="E38" s="564">
        <v>43761.0</v>
      </c>
      <c r="F38" s="223" t="s">
        <v>469</v>
      </c>
      <c r="G38" s="583" t="str">
        <f>HYPERLINK("http://s.apple.com/dE0R1r6i2Y","Register for Oct 23 Access Abilities")</f>
        <v>Register for Oct 23 Access Abilities</v>
      </c>
      <c r="H38" s="562" t="s">
        <v>470</v>
      </c>
      <c r="I38" s="562" t="s">
        <v>471</v>
      </c>
      <c r="J38" s="562" t="s">
        <v>472</v>
      </c>
      <c r="K38" s="562" t="s">
        <v>494</v>
      </c>
      <c r="L38" s="590" t="s">
        <v>469</v>
      </c>
      <c r="M38" s="562" t="s">
        <v>280</v>
      </c>
      <c r="N38" s="570" t="s">
        <v>474</v>
      </c>
      <c r="O38" s="570" t="s">
        <v>428</v>
      </c>
      <c r="P38" s="575" t="s">
        <v>280</v>
      </c>
      <c r="Q38" s="581"/>
    </row>
    <row r="39">
      <c r="A39" s="574"/>
      <c r="B39" s="575"/>
      <c r="C39" s="575"/>
      <c r="D39" s="575"/>
      <c r="E39" s="576">
        <v>43761.0</v>
      </c>
      <c r="F39" s="541" t="s">
        <v>994</v>
      </c>
      <c r="G39" s="577" t="str">
        <f>HYPERLINK("https://www.echalk.com/dig-in-camps","Register for Oct 23 DigIn Camp: Basic Training")</f>
        <v>Register for Oct 23 DigIn Camp: Basic Training</v>
      </c>
      <c r="H39" s="578" t="s">
        <v>1008</v>
      </c>
      <c r="I39" s="575" t="s">
        <v>1009</v>
      </c>
      <c r="J39" s="575" t="s">
        <v>437</v>
      </c>
      <c r="K39" s="575" t="s">
        <v>402</v>
      </c>
      <c r="L39" s="577" t="str">
        <f t="shared" ref="L39:L40" si="2">HYPERLINK("https://docs.google.com/spreadsheets/d/12X-61HfLBxTxAESoAea0X2I4K1R-valRhC9TIkvFTzs/edit#gid=0","DigIn Camp: Basic Training Agenda")</f>
        <v>DigIn Camp: Basic Training Agenda</v>
      </c>
      <c r="M39" s="575" t="s">
        <v>221</v>
      </c>
      <c r="N39" s="575" t="s">
        <v>998</v>
      </c>
      <c r="O39" s="570" t="s">
        <v>428</v>
      </c>
      <c r="P39" s="575" t="s">
        <v>221</v>
      </c>
      <c r="Q39" s="581"/>
    </row>
    <row r="40">
      <c r="A40" s="574"/>
      <c r="B40" s="575" t="s">
        <v>1049</v>
      </c>
      <c r="C40" s="575" t="s">
        <v>1050</v>
      </c>
      <c r="D40" s="575" t="s">
        <v>1051</v>
      </c>
      <c r="E40" s="576">
        <v>43761.0</v>
      </c>
      <c r="F40" s="541" t="s">
        <v>1014</v>
      </c>
      <c r="G40" s="577" t="str">
        <f>HYPERLINK("https://www.echalk.com/dig-in-camps","Register for Oct 23 DigIn Camp: Basic Training &amp; Beyond Basics")</f>
        <v>Register for Oct 23 DigIn Camp: Basic Training &amp; Beyond Basics</v>
      </c>
      <c r="H40" s="578" t="s">
        <v>1008</v>
      </c>
      <c r="I40" s="575" t="s">
        <v>996</v>
      </c>
      <c r="J40" s="575" t="s">
        <v>437</v>
      </c>
      <c r="K40" s="575" t="s">
        <v>402</v>
      </c>
      <c r="L40" s="577" t="str">
        <f t="shared" si="2"/>
        <v>DigIn Camp: Basic Training Agenda</v>
      </c>
      <c r="M40" s="575" t="s">
        <v>221</v>
      </c>
      <c r="N40" s="575" t="s">
        <v>1052</v>
      </c>
      <c r="O40" s="570" t="s">
        <v>428</v>
      </c>
      <c r="P40" s="575" t="s">
        <v>221</v>
      </c>
      <c r="Q40" s="581"/>
    </row>
    <row r="41">
      <c r="A41" s="602"/>
      <c r="B41" s="575" t="s">
        <v>1049</v>
      </c>
      <c r="C41" s="575" t="s">
        <v>1050</v>
      </c>
      <c r="D41" s="575" t="s">
        <v>1051</v>
      </c>
      <c r="E41" s="584">
        <v>43762.0</v>
      </c>
      <c r="F41" s="70" t="s">
        <v>223</v>
      </c>
      <c r="G41" s="577" t="str">
        <f>HYPERLINK("https://www.surveygizmo.com/s3/2325967/SPOC-PD-Registration","Register Here")</f>
        <v>Register Here</v>
      </c>
      <c r="H41" s="587" t="s">
        <v>1055</v>
      </c>
      <c r="I41" s="587" t="s">
        <v>226</v>
      </c>
      <c r="J41" s="588" t="s">
        <v>116</v>
      </c>
      <c r="K41" s="587" t="s">
        <v>219</v>
      </c>
      <c r="L41" s="586" t="str">
        <f>HYPERLINK("https://nycdoe.sharepoint.com/:w:/s/BKLYNTeamSharePoint/EURGvFlxPZtLjrxuedmj4TgBb0qu6YA5pGSm08OB5hEPvw?e=gUBeTg ","SPOC Meet-up")</f>
        <v>SPOC Meet-up</v>
      </c>
      <c r="M41" s="588" t="s">
        <v>221</v>
      </c>
      <c r="N41" s="587" t="s">
        <v>222</v>
      </c>
      <c r="O41" s="570" t="s">
        <v>211</v>
      </c>
      <c r="P41" s="570"/>
      <c r="Q41" s="571"/>
    </row>
    <row r="42">
      <c r="A42" s="574"/>
      <c r="B42" s="575" t="s">
        <v>1049</v>
      </c>
      <c r="C42" s="575" t="s">
        <v>1050</v>
      </c>
      <c r="D42" s="575" t="s">
        <v>1051</v>
      </c>
      <c r="E42" s="564">
        <v>43764.0</v>
      </c>
      <c r="F42" s="589" t="s">
        <v>1056</v>
      </c>
      <c r="G42" s="583" t="str">
        <f>HYPERLINK("https://cs4all.force.com/s/lt-event?id=a2af40000016JbNAAU","Register Here")</f>
        <v>Register Here</v>
      </c>
      <c r="H42" s="567" t="s">
        <v>1057</v>
      </c>
      <c r="I42" s="567" t="s">
        <v>860</v>
      </c>
      <c r="J42" s="562" t="s">
        <v>1058</v>
      </c>
      <c r="K42" s="567" t="s">
        <v>494</v>
      </c>
      <c r="L42" s="591" t="str">
        <f>HYPERLINK("http://cs4all.nyc/2019/09/23/cs4all-hispanic-heritage-celebration/","CS4All Hispanic Heritage Event Page")</f>
        <v>CS4All Hispanic Heritage Event Page</v>
      </c>
      <c r="M42" s="568" t="s">
        <v>280</v>
      </c>
      <c r="N42" s="603" t="s">
        <v>1059</v>
      </c>
      <c r="O42" s="570" t="s">
        <v>496</v>
      </c>
      <c r="P42" s="570"/>
      <c r="Q42" s="571"/>
    </row>
    <row r="43" ht="31.5" customHeight="1">
      <c r="A43" s="574">
        <v>43630.3872515625</v>
      </c>
      <c r="B43" s="575" t="s">
        <v>1049</v>
      </c>
      <c r="C43" s="575" t="s">
        <v>1050</v>
      </c>
      <c r="D43" s="575" t="s">
        <v>1051</v>
      </c>
      <c r="E43" s="564">
        <v>43766.0</v>
      </c>
      <c r="F43" s="541" t="s">
        <v>1060</v>
      </c>
      <c r="G43" s="575" t="s">
        <v>1061</v>
      </c>
      <c r="H43" s="575" t="s">
        <v>1062</v>
      </c>
      <c r="I43" s="562" t="s">
        <v>444</v>
      </c>
      <c r="J43" s="562" t="s">
        <v>116</v>
      </c>
      <c r="K43" s="575" t="s">
        <v>1063</v>
      </c>
      <c r="L43" s="577" t="str">
        <f>HYPERLINK("https://nycdoe.sharepoint.com/:w:/s/FoundationsTraining/EeiFLhs8gUFJtFdVC1QPGQoBtp8wNtJxlo31mxYRYUxZgw?rtime=mrNk7n4410g","SiteImprove Academy Training Agenda")</f>
        <v>SiteImprove Academy Training Agenda</v>
      </c>
      <c r="M43" s="562" t="s">
        <v>221</v>
      </c>
      <c r="N43" s="570" t="s">
        <v>1064</v>
      </c>
      <c r="O43" s="570" t="s">
        <v>1065</v>
      </c>
      <c r="P43" s="575" t="s">
        <v>221</v>
      </c>
      <c r="Q43" s="581"/>
    </row>
    <row r="44">
      <c r="A44" s="574">
        <v>43630.3872515625</v>
      </c>
      <c r="B44" s="575" t="s">
        <v>1049</v>
      </c>
      <c r="C44" s="575" t="s">
        <v>1050</v>
      </c>
      <c r="D44" s="575" t="s">
        <v>1051</v>
      </c>
      <c r="E44" s="582">
        <v>43767.0</v>
      </c>
      <c r="F44" s="565" t="s">
        <v>1066</v>
      </c>
      <c r="G44" s="591" t="str">
        <f>HYPERLINK("https://www.surveygizmo.com/s3/5210164/Partner-Certification-Fall-2019-Updated","Register Here")</f>
        <v>Register Here</v>
      </c>
      <c r="H44" s="567" t="s">
        <v>1067</v>
      </c>
      <c r="I44" s="567" t="s">
        <v>1068</v>
      </c>
      <c r="J44" s="562" t="s">
        <v>347</v>
      </c>
      <c r="K44" s="567" t="s">
        <v>1047</v>
      </c>
      <c r="L44" s="597"/>
      <c r="M44" s="568" t="s">
        <v>221</v>
      </c>
      <c r="N44" s="567" t="s">
        <v>1069</v>
      </c>
      <c r="O44" s="570" t="s">
        <v>496</v>
      </c>
      <c r="P44" s="570"/>
      <c r="Q44" s="571"/>
    </row>
    <row r="45">
      <c r="A45" s="574"/>
      <c r="B45" s="575" t="s">
        <v>1049</v>
      </c>
      <c r="C45" s="575" t="s">
        <v>1050</v>
      </c>
      <c r="D45" s="575" t="s">
        <v>1051</v>
      </c>
      <c r="E45" s="576">
        <v>43767.0</v>
      </c>
      <c r="F45" s="541" t="s">
        <v>994</v>
      </c>
      <c r="G45" s="577" t="str">
        <f>HYPERLINK("https://www.echalk.com/dig-in-camps","Register for Oct 29 DigIn Camp: Basic Training")</f>
        <v>Register for Oct 29 DigIn Camp: Basic Training</v>
      </c>
      <c r="H45" s="578" t="s">
        <v>1008</v>
      </c>
      <c r="I45" s="575" t="s">
        <v>996</v>
      </c>
      <c r="J45" s="575" t="s">
        <v>437</v>
      </c>
      <c r="K45" s="575" t="s">
        <v>402</v>
      </c>
      <c r="L45" s="577" t="str">
        <f>HYPERLINK("https://docs.google.com/spreadsheets/d/12X-61HfLBxTxAESoAea0X2I4K1R-valRhC9TIkvFTzs/edit#gid=0","DigIn Camp: Basic Training Agenda")</f>
        <v>DigIn Camp: Basic Training Agenda</v>
      </c>
      <c r="M45" s="575" t="s">
        <v>221</v>
      </c>
      <c r="N45" s="575" t="s">
        <v>1070</v>
      </c>
      <c r="O45" s="570" t="s">
        <v>428</v>
      </c>
      <c r="P45" s="575" t="s">
        <v>221</v>
      </c>
      <c r="Q45" s="581"/>
    </row>
    <row r="46">
      <c r="A46" s="574"/>
      <c r="B46" s="575" t="s">
        <v>1049</v>
      </c>
      <c r="C46" s="575" t="s">
        <v>1050</v>
      </c>
      <c r="D46" s="575" t="s">
        <v>1051</v>
      </c>
      <c r="E46" s="576">
        <v>43767.0</v>
      </c>
      <c r="F46" s="541" t="s">
        <v>1071</v>
      </c>
      <c r="G46" s="577" t="str">
        <f>HYPERLINK("https://script.google.com/macros/s/AKfycbz13TA6TRLjXeWWS4UzoZp0Si7VH0DV8Qjhco5ZG2FHe2y7j-Y/exec?id=218AP19&amp;instance=Queens+North+PL+System","Register for Oct 29 Website Accessibility Workshop")</f>
        <v>Register for Oct 29 Website Accessibility Workshop</v>
      </c>
      <c r="H46" s="578" t="s">
        <v>1072</v>
      </c>
      <c r="I46" s="575" t="s">
        <v>1073</v>
      </c>
      <c r="J46" s="575" t="s">
        <v>1074</v>
      </c>
      <c r="K46" s="575"/>
      <c r="L46" s="579"/>
      <c r="M46" s="575" t="s">
        <v>280</v>
      </c>
      <c r="N46" s="580" t="s">
        <v>1075</v>
      </c>
      <c r="O46" s="570" t="s">
        <v>1065</v>
      </c>
      <c r="P46" s="575" t="s">
        <v>221</v>
      </c>
      <c r="Q46" s="581"/>
    </row>
    <row r="47">
      <c r="A47" s="574"/>
      <c r="B47" s="575" t="s">
        <v>1049</v>
      </c>
      <c r="C47" s="575" t="s">
        <v>1050</v>
      </c>
      <c r="D47" s="575" t="s">
        <v>1051</v>
      </c>
      <c r="E47" s="576">
        <v>43768.0</v>
      </c>
      <c r="F47" s="541" t="s">
        <v>1076</v>
      </c>
      <c r="G47" s="577" t="str">
        <f>HYPERLINK("https://www.eventbrite.com/e/citizenship-in-the-digital-age-registration-71782095179","Register here")</f>
        <v>Register here</v>
      </c>
      <c r="H47" s="575" t="s">
        <v>1077</v>
      </c>
      <c r="I47" s="575" t="s">
        <v>1018</v>
      </c>
      <c r="J47" s="575" t="s">
        <v>1078</v>
      </c>
      <c r="K47" s="575" t="s">
        <v>1079</v>
      </c>
      <c r="L47" s="577" t="str">
        <f>HYPERLINK("https://www.eventbrite.com/e/citizenship-in-the-digital-age-registration-71782095179","Citizenship in the Digital Age")</f>
        <v>Citizenship in the Digital Age</v>
      </c>
      <c r="M47" s="588" t="s">
        <v>221</v>
      </c>
      <c r="N47" s="575" t="s">
        <v>1080</v>
      </c>
      <c r="O47" s="570" t="s">
        <v>1081</v>
      </c>
      <c r="P47" s="570" t="s">
        <v>221</v>
      </c>
      <c r="Q47" s="571"/>
    </row>
    <row r="48">
      <c r="A48" s="574"/>
      <c r="B48" s="575" t="s">
        <v>1049</v>
      </c>
      <c r="C48" s="575" t="s">
        <v>1050</v>
      </c>
      <c r="D48" s="575" t="s">
        <v>1051</v>
      </c>
      <c r="E48" s="564">
        <v>43768.0</v>
      </c>
      <c r="F48" s="589" t="s">
        <v>1076</v>
      </c>
      <c r="G48" s="583" t="str">
        <f>HYPERLINK("https://www.eventbrite.com/e/citizenship-in-the-digital-age-registration-71782095179","Register Here")</f>
        <v>Register Here</v>
      </c>
      <c r="H48" s="567" t="s">
        <v>1083</v>
      </c>
      <c r="I48" s="567" t="s">
        <v>1084</v>
      </c>
      <c r="J48" s="562" t="s">
        <v>1085</v>
      </c>
      <c r="K48" s="567" t="s">
        <v>1087</v>
      </c>
      <c r="L48" s="591"/>
      <c r="M48" s="568" t="s">
        <v>221</v>
      </c>
      <c r="N48" s="569" t="s">
        <v>1088</v>
      </c>
      <c r="O48" s="570" t="s">
        <v>1081</v>
      </c>
      <c r="P48" s="570"/>
      <c r="Q48" s="571"/>
    </row>
    <row r="49">
      <c r="A49" s="574"/>
      <c r="B49" s="575"/>
      <c r="C49" s="575"/>
      <c r="D49" s="575"/>
      <c r="E49" s="564">
        <v>43768.0</v>
      </c>
      <c r="F49" s="589" t="s">
        <v>1089</v>
      </c>
      <c r="G49" s="583" t="str">
        <f>HYPERLINK("https://docs.google.com/forms/d/e/1FAIpQLSc-ipQeGqR8W8sBPX1uhiQE6sBimo8fd-wQg5P9LsG4Tie0nQ/viewform","Register Here")</f>
        <v>Register Here</v>
      </c>
      <c r="H49" s="567" t="s">
        <v>519</v>
      </c>
      <c r="I49" s="567" t="s">
        <v>509</v>
      </c>
      <c r="J49" s="562" t="s">
        <v>49</v>
      </c>
      <c r="K49" s="567" t="s">
        <v>494</v>
      </c>
      <c r="L49" s="591" t="str">
        <f>HYPERLINK("https://docs.google.com/document/d/1PK1CopTJ9X1RjfQP-dfu4OqaMbAGx1IOLMs4rnPLngM/edit#heading=h.c9r63tridy78","GEG AGENDA")</f>
        <v>GEG AGENDA</v>
      </c>
      <c r="M49" s="568" t="s">
        <v>221</v>
      </c>
      <c r="N49" s="604"/>
      <c r="O49" s="570" t="s">
        <v>511</v>
      </c>
      <c r="P49" s="570"/>
      <c r="Q49" s="571"/>
    </row>
    <row r="50">
      <c r="A50" s="574"/>
      <c r="B50" s="575" t="s">
        <v>1049</v>
      </c>
      <c r="C50" s="575" t="s">
        <v>1050</v>
      </c>
      <c r="D50" s="575" t="s">
        <v>1051</v>
      </c>
      <c r="E50" s="576">
        <v>43768.0</v>
      </c>
      <c r="F50" s="541" t="s">
        <v>1090</v>
      </c>
      <c r="G50" s="575" t="s">
        <v>1061</v>
      </c>
      <c r="H50" s="575" t="s">
        <v>1062</v>
      </c>
      <c r="I50" s="575" t="s">
        <v>810</v>
      </c>
      <c r="J50" s="575" t="s">
        <v>116</v>
      </c>
      <c r="K50" s="575" t="s">
        <v>1063</v>
      </c>
      <c r="L50" s="577" t="str">
        <f>HYPERLINK("https://docs.google.com/spreadsheets/d/1vUKXO2H1DEYZT4RdXhqK81UGOosSBB5tk4z5UGmn6LA/edit#gid=405275768","DigIn Camp: Beyond Basics agenda")</f>
        <v>DigIn Camp: Beyond Basics agenda</v>
      </c>
      <c r="M50" s="575" t="s">
        <v>221</v>
      </c>
      <c r="N50" s="575" t="s">
        <v>1092</v>
      </c>
      <c r="O50" s="570" t="s">
        <v>1065</v>
      </c>
      <c r="P50" s="575" t="s">
        <v>221</v>
      </c>
      <c r="Q50" s="581"/>
    </row>
    <row r="51" ht="28.5" customHeight="1">
      <c r="A51" s="574"/>
      <c r="B51" s="575" t="s">
        <v>1049</v>
      </c>
      <c r="C51" s="575" t="s">
        <v>1050</v>
      </c>
      <c r="D51" s="575" t="s">
        <v>1051</v>
      </c>
      <c r="E51" s="576">
        <v>43771.0</v>
      </c>
      <c r="F51" s="541" t="s">
        <v>1093</v>
      </c>
      <c r="G51" s="577" t="str">
        <f>HYPERLINK("https://cs4all.force.com/s/lt-event?id=a2af40000016JeqAAE","Register Here")</f>
        <v>Register Here</v>
      </c>
      <c r="H51" s="575" t="s">
        <v>1094</v>
      </c>
      <c r="I51" s="575" t="s">
        <v>1095</v>
      </c>
      <c r="J51" s="575" t="s">
        <v>1058</v>
      </c>
      <c r="K51" s="575" t="s">
        <v>494</v>
      </c>
      <c r="L51" s="577" t="str">
        <f>HYPERLINK("https://cs4all.force.com/s/lt-event?id=a2af40000016JeqAAE","Event Link")</f>
        <v>Event Link</v>
      </c>
      <c r="M51" s="588" t="s">
        <v>221</v>
      </c>
      <c r="N51" s="605" t="s">
        <v>1096</v>
      </c>
      <c r="O51" s="570" t="s">
        <v>496</v>
      </c>
      <c r="P51" s="575"/>
      <c r="Q51" s="581"/>
    </row>
    <row r="52">
      <c r="A52" s="574"/>
      <c r="B52" s="575" t="s">
        <v>1049</v>
      </c>
      <c r="C52" s="575" t="s">
        <v>1050</v>
      </c>
      <c r="D52" s="575" t="s">
        <v>1051</v>
      </c>
      <c r="E52" s="576">
        <v>43774.0</v>
      </c>
      <c r="F52" s="541" t="s">
        <v>1097</v>
      </c>
      <c r="G52" s="577" t="str">
        <f>HYPERLINK("https://future.swoogo.com/nycdoe?fbclid=IwAR0sRpr6YtSPyaSWhpZV1XWWgwwFo_8sQ95JHNbul0CdjORU_L7TiQTm5sg","Register for Website Accessibility Summit")</f>
        <v>Register for Website Accessibility Summit</v>
      </c>
      <c r="H52" s="575" t="s">
        <v>1100</v>
      </c>
      <c r="I52" s="575" t="s">
        <v>1101</v>
      </c>
      <c r="J52" s="575" t="s">
        <v>1102</v>
      </c>
      <c r="K52" s="575" t="s">
        <v>402</v>
      </c>
      <c r="L52" s="577" t="str">
        <f>HYPERLINK("https://www.techlearninglive.com/nycdoe_website_accessibility_summit/363566?fbclid=IwAR2N2-7uVlkYoS8GSsDkZ6_K8eRb8tixLdcTQrRK4Nsx8_e2CQCR0Wi97Ac","Website Accesibilty Summit Event Link")</f>
        <v>Website Accesibilty Summit Event Link</v>
      </c>
      <c r="M52" s="575" t="s">
        <v>221</v>
      </c>
      <c r="N52" s="606" t="s">
        <v>1103</v>
      </c>
      <c r="O52" s="570" t="s">
        <v>428</v>
      </c>
      <c r="P52" s="575" t="s">
        <v>280</v>
      </c>
      <c r="Q52" s="581"/>
    </row>
    <row r="53">
      <c r="A53" s="574"/>
      <c r="B53" s="575"/>
      <c r="C53" s="575"/>
      <c r="D53" s="575"/>
      <c r="E53" s="576">
        <v>43774.0</v>
      </c>
      <c r="F53" s="541" t="s">
        <v>1097</v>
      </c>
      <c r="G53" s="577" t="str">
        <f>HYPERLINK("https://future.swoogo.com/nycdoe?fbclid=IwAR0sRpr6YtSPyaSWhpZV1XWWgwwFo_8sQ95JHNbul0CdjORU_L7TiQTm5sg","Summit Registration")</f>
        <v>Summit Registration</v>
      </c>
      <c r="H53" s="575" t="s">
        <v>1104</v>
      </c>
      <c r="I53" s="575" t="s">
        <v>1101</v>
      </c>
      <c r="J53" s="575" t="s">
        <v>1105</v>
      </c>
      <c r="K53" s="575" t="s">
        <v>1106</v>
      </c>
      <c r="L53" s="577" t="str">
        <f>HYPERLINK("https://www.techlearninglive.com/nycdoe_website_accessibility_summit/363566?fbclid=IwAR2N2-7uVlkYoS8GSsDkZ6_K8eRb8tixLdcTQrRK4Nsx8_e2CQCR0Wi97Ac","Website Accesibilty Registration")</f>
        <v>Website Accesibilty Registration</v>
      </c>
      <c r="M53" s="588" t="s">
        <v>221</v>
      </c>
      <c r="N53" s="605" t="s">
        <v>1103</v>
      </c>
      <c r="O53" s="570" t="s">
        <v>428</v>
      </c>
      <c r="P53" s="575" t="s">
        <v>221</v>
      </c>
      <c r="Q53" s="581"/>
    </row>
    <row r="54">
      <c r="A54" s="598"/>
      <c r="B54" s="562"/>
      <c r="C54" s="562"/>
      <c r="D54" s="600"/>
      <c r="E54" s="576">
        <v>43775.0</v>
      </c>
      <c r="F54" s="541" t="s">
        <v>1060</v>
      </c>
      <c r="G54" s="577" t="str">
        <f>HYPERLINK("https://docs.google.com/forms/d/1y3F2tQtdoUJKU-zQr61w4P3604rhWpV7daZ2QZLA7Ko/viewform?edit_requested=true","Register for Nov 6 SiteImprove Academy")</f>
        <v>Register for Nov 6 SiteImprove Academy</v>
      </c>
      <c r="H54" s="575" t="s">
        <v>1107</v>
      </c>
      <c r="I54" s="575" t="s">
        <v>1009</v>
      </c>
      <c r="J54" s="575" t="s">
        <v>116</v>
      </c>
      <c r="K54" s="575" t="s">
        <v>1063</v>
      </c>
      <c r="L54" s="577" t="str">
        <f>HYPERLINK("https://nycdoe.sharepoint.com/:w:/s/FoundationsTraining/EeiFLhs8gUFJtFdVC1QPGQoBtp8wNtJxlo31mxYRYUxZgw?rtime=mrNk7n4410g","SiteImprove Academy Training Agenda")</f>
        <v>SiteImprove Academy Training Agenda</v>
      </c>
      <c r="M54" s="575" t="s">
        <v>221</v>
      </c>
      <c r="N54" s="575" t="s">
        <v>1064</v>
      </c>
      <c r="O54" s="570" t="s">
        <v>1065</v>
      </c>
      <c r="P54" s="575" t="s">
        <v>221</v>
      </c>
      <c r="Q54" s="581"/>
    </row>
    <row r="55">
      <c r="A55" s="574"/>
      <c r="B55" s="575"/>
      <c r="C55" s="575"/>
      <c r="D55" s="575"/>
      <c r="E55" s="607">
        <v>43777.0</v>
      </c>
      <c r="F55" s="565" t="s">
        <v>1108</v>
      </c>
      <c r="G55" s="583" t="str">
        <f t="shared" ref="G55:G56" si="3">HYPERLINK("https://docs.google.com/forms/d/e/1FAIpQLSfvb0UcrDEj31vk_6DRLgRuKc2Dq_q1TgtYU9IAKcwmI69xsg/viewform","Register here")</f>
        <v>Register here</v>
      </c>
      <c r="H55" s="575" t="s">
        <v>1109</v>
      </c>
      <c r="I55" s="587" t="s">
        <v>1110</v>
      </c>
      <c r="J55" s="588" t="s">
        <v>1111</v>
      </c>
      <c r="K55" s="567" t="s">
        <v>1112</v>
      </c>
      <c r="L55" s="566"/>
      <c r="M55" s="588" t="s">
        <v>221</v>
      </c>
      <c r="N55" s="608" t="s">
        <v>1113</v>
      </c>
      <c r="O55" s="570" t="s">
        <v>1081</v>
      </c>
      <c r="P55" s="570" t="s">
        <v>221</v>
      </c>
      <c r="Q55" s="571"/>
    </row>
    <row r="56">
      <c r="A56" s="574"/>
      <c r="B56" s="575"/>
      <c r="C56" s="575"/>
      <c r="D56" s="575"/>
      <c r="E56" s="607">
        <v>43777.0</v>
      </c>
      <c r="F56" s="565" t="s">
        <v>1108</v>
      </c>
      <c r="G56" s="583" t="str">
        <f t="shared" si="3"/>
        <v>Register here</v>
      </c>
      <c r="H56" s="575" t="s">
        <v>1109</v>
      </c>
      <c r="I56" s="587" t="s">
        <v>1110</v>
      </c>
      <c r="J56" s="588" t="s">
        <v>1111</v>
      </c>
      <c r="K56" s="567" t="s">
        <v>1112</v>
      </c>
      <c r="L56" s="566"/>
      <c r="M56" s="588" t="s">
        <v>221</v>
      </c>
      <c r="N56" s="608" t="s">
        <v>1113</v>
      </c>
      <c r="O56" s="570" t="s">
        <v>1081</v>
      </c>
      <c r="P56" s="570" t="s">
        <v>221</v>
      </c>
      <c r="Q56" s="571"/>
    </row>
    <row r="57">
      <c r="A57" s="574"/>
      <c r="B57" s="575"/>
      <c r="C57" s="575"/>
      <c r="D57" s="575"/>
      <c r="E57" s="584">
        <v>43777.0</v>
      </c>
      <c r="F57" s="70" t="s">
        <v>1116</v>
      </c>
      <c r="G57" s="577" t="str">
        <f>HYPERLINK("https://www.surveygizmo.com/s3/2325967/SPOC-PD-Registration","Register Here")</f>
        <v>Register Here</v>
      </c>
      <c r="H57" s="587" t="s">
        <v>237</v>
      </c>
      <c r="I57" s="587" t="s">
        <v>226</v>
      </c>
      <c r="J57" s="588" t="s">
        <v>116</v>
      </c>
      <c r="K57" s="587" t="s">
        <v>219</v>
      </c>
      <c r="L57" s="586" t="str">
        <f>HYPERLINK("https://tinyurl.com/y4whh9pt","SPOC Meet-up")</f>
        <v>SPOC Meet-up</v>
      </c>
      <c r="M57" s="588" t="s">
        <v>221</v>
      </c>
      <c r="N57" s="587" t="s">
        <v>238</v>
      </c>
      <c r="O57" s="570" t="s">
        <v>211</v>
      </c>
      <c r="P57" s="570"/>
      <c r="Q57" s="571"/>
    </row>
    <row r="58">
      <c r="A58" s="574"/>
      <c r="B58" s="575"/>
      <c r="C58" s="575"/>
      <c r="D58" s="575"/>
      <c r="E58" s="576">
        <v>43781.0</v>
      </c>
      <c r="F58" s="541" t="s">
        <v>1000</v>
      </c>
      <c r="G58" s="577" t="str">
        <f>HYPERLINK("https://docs.google.com/document/d/1NQ-Zk8hHIrAUffmzVTadd4ozq2hDmw-9k2WGYBQaf8Y/edit","Register for Staten Island Nov 12 Website Accessibility")</f>
        <v>Register for Staten Island Nov 12 Website Accessibility</v>
      </c>
      <c r="H58" s="575" t="s">
        <v>1119</v>
      </c>
      <c r="I58" s="575" t="s">
        <v>1120</v>
      </c>
      <c r="J58" s="575" t="s">
        <v>1002</v>
      </c>
      <c r="K58" s="587" t="s">
        <v>1121</v>
      </c>
      <c r="L58" s="579"/>
      <c r="M58" s="575" t="s">
        <v>221</v>
      </c>
      <c r="N58" s="587" t="s">
        <v>1122</v>
      </c>
      <c r="O58" s="570" t="s">
        <v>1065</v>
      </c>
      <c r="P58" s="575" t="s">
        <v>221</v>
      </c>
      <c r="Q58" s="581"/>
    </row>
    <row r="59">
      <c r="A59" s="561"/>
      <c r="B59" s="568"/>
      <c r="C59" s="568"/>
      <c r="D59" s="563"/>
      <c r="E59" s="584">
        <v>43781.0</v>
      </c>
      <c r="F59" s="70" t="s">
        <v>1123</v>
      </c>
      <c r="G59" s="577" t="str">
        <f>HYPERLINK("https://www.surveygizmo.com/s3/2325967/SPOC-PD-Registration","Register Here")</f>
        <v>Register Here</v>
      </c>
      <c r="H59" s="587" t="s">
        <v>254</v>
      </c>
      <c r="I59" s="587" t="s">
        <v>226</v>
      </c>
      <c r="J59" s="588" t="s">
        <v>116</v>
      </c>
      <c r="K59" s="587" t="s">
        <v>219</v>
      </c>
      <c r="L59" s="586" t="str">
        <f>HYPERLINK("https://nam01.safelinks.protection.outlook.com/ap/w-59584e83/?url=https%3A%2F%2Fnycdoe.sharepoint.com%2F%3Aw%3A%2Fr%2Fsites%2FDIITSPOCSharePoint%2FShared%2520Documents%2FSPOC%2520Meet-up%2FSPOC%2520Meet-up%2520JAMF.docx%3Fd%3Dwbe1b3f8f3f5049d4abf1fa5c4faa"&amp;"19be%26csf%3D1%26e%3DOeZSlr&amp;data=02%7C01%7CNSchepi%40schools.nyc.gov%7Cd7367ac6fc3f425fa11008d721adafa0%7C18492cb7ef45456185710c42e5f7ac07%7C0%7C0%7C637014902163885624&amp;sdata=PpHLV6m4w8jKQtaiXvECwrbSO273qFQT5x7ZvUplZdI%3D&amp;reserved=0","SPOC Meet-up JAMF and Teq")</f>
        <v>SPOC Meet-up JAMF and Teq</v>
      </c>
      <c r="M59" s="588" t="s">
        <v>221</v>
      </c>
      <c r="N59" s="587" t="s">
        <v>222</v>
      </c>
      <c r="O59" s="570" t="s">
        <v>211</v>
      </c>
      <c r="P59" s="570"/>
      <c r="Q59" s="571"/>
    </row>
    <row r="60">
      <c r="A60" s="561"/>
      <c r="B60" s="568"/>
      <c r="C60" s="568"/>
      <c r="D60" s="563"/>
      <c r="E60" s="609">
        <v>43782.0</v>
      </c>
      <c r="F60" s="610" t="s">
        <v>492</v>
      </c>
      <c r="G60" s="611" t="s">
        <v>224</v>
      </c>
      <c r="H60" s="594" t="s">
        <v>470</v>
      </c>
      <c r="I60" s="594" t="s">
        <v>471</v>
      </c>
      <c r="J60" s="593" t="s">
        <v>472</v>
      </c>
      <c r="K60" s="594" t="s">
        <v>494</v>
      </c>
      <c r="L60" s="612" t="str">
        <f>HYPERLINK("https://events.apple.com/content/events/us_education/us/en/k20-everyone-can-code-2018---land.html?token=eGrZhRliceM7agIHedaCKz7nIbyIZwOCugDieY2120FgsYcvMYTdWjSzB9nwMdMajvOwTcnl-2Bj9JLXQQ_tQuschGIIpulRDfW93WesCmmPgUpWNce4H2Ua9N8nljcA&amp;a=1&amp;l=e","Everyone Can Code")</f>
        <v>Everyone Can Code</v>
      </c>
      <c r="M60" s="613" t="s">
        <v>280</v>
      </c>
      <c r="N60" s="614" t="s">
        <v>495</v>
      </c>
      <c r="O60" s="570" t="s">
        <v>496</v>
      </c>
      <c r="P60" s="570"/>
      <c r="Q60" s="571"/>
    </row>
    <row r="61">
      <c r="A61" s="561"/>
      <c r="B61" s="568"/>
      <c r="C61" s="568"/>
      <c r="D61" s="563"/>
      <c r="E61" s="609">
        <v>43782.0</v>
      </c>
      <c r="F61" s="615" t="s">
        <v>513</v>
      </c>
      <c r="G61" s="616" t="s">
        <v>224</v>
      </c>
      <c r="H61" s="594" t="s">
        <v>470</v>
      </c>
      <c r="I61" s="594" t="s">
        <v>471</v>
      </c>
      <c r="J61" s="593" t="s">
        <v>472</v>
      </c>
      <c r="K61" s="594" t="s">
        <v>494</v>
      </c>
      <c r="L61" s="617" t="str">
        <f>HYPERLINK("http://s.apple.com/dE0a9U9M3B","Everyone Can Create")</f>
        <v>Everyone Can Create</v>
      </c>
      <c r="M61" s="613" t="s">
        <v>280</v>
      </c>
      <c r="N61" s="614" t="s">
        <v>515</v>
      </c>
      <c r="O61" s="618" t="s">
        <v>516</v>
      </c>
      <c r="P61" s="618"/>
      <c r="Q61" s="619"/>
    </row>
    <row r="62">
      <c r="A62" s="561"/>
      <c r="B62" s="568"/>
      <c r="C62" s="568"/>
      <c r="D62" s="563"/>
      <c r="E62" s="620">
        <v>43783.0</v>
      </c>
      <c r="F62" s="621" t="s">
        <v>1126</v>
      </c>
      <c r="G62" s="622"/>
      <c r="H62" s="623" t="s">
        <v>232</v>
      </c>
      <c r="I62" s="623" t="s">
        <v>226</v>
      </c>
      <c r="J62" s="624" t="s">
        <v>116</v>
      </c>
      <c r="K62" s="623" t="s">
        <v>219</v>
      </c>
      <c r="L62" s="625" t="str">
        <f>HYPERLINK("https://nam01.safelinks.protection.outlook.com/ap/w-59584e83/?url=https%3A%2F%2Fnycdoe.sharepoint.com%2F%3Aw%3A%2Fs%2Fbronxtechnologyteam%2FEebnhgwNrutNnuynAy1XKpkBfOLUO8sDVpL3Q7NZAbIFLA%3Fe%3DFAtCEI&amp;data=02%7C01%7CNSchepi%40schools.nyc.gov%7C2d7e31e6211e"&amp;"4ef6d69408d74d99b692%7C18492cb7ef45456185710c42e5f7ac07%7C0%7C0%7C637063194891437912&amp;sdata=dlVguOVXnVfHKUQJJqb4Z9qq2V2Jut8CKxBAa2o0Gbc%3D&amp;reserved=0","SPOC Meet-up")</f>
        <v>SPOC Meet-up</v>
      </c>
      <c r="M62" s="624" t="s">
        <v>221</v>
      </c>
      <c r="N62" s="623" t="s">
        <v>222</v>
      </c>
      <c r="O62" s="570" t="s">
        <v>211</v>
      </c>
      <c r="P62" s="570"/>
      <c r="Q62" s="571"/>
    </row>
    <row r="63">
      <c r="A63" s="561"/>
      <c r="B63" s="568"/>
      <c r="C63" s="568"/>
      <c r="D63" s="563"/>
      <c r="E63" s="564">
        <v>43783.0</v>
      </c>
      <c r="F63" s="589" t="s">
        <v>1034</v>
      </c>
      <c r="G63" s="583" t="str">
        <f t="shared" ref="G63:G64" si="4">HYPERLINK("https://www.microsoft.com/en-us/store/event_registration/?eid=513581148&amp;locid=103261&amp;rtc=1","Register Here")</f>
        <v>Register Here</v>
      </c>
      <c r="H63" s="567" t="s">
        <v>1036</v>
      </c>
      <c r="I63" s="567" t="s">
        <v>1037</v>
      </c>
      <c r="J63" s="562" t="s">
        <v>52</v>
      </c>
      <c r="K63" s="567" t="s">
        <v>1038</v>
      </c>
      <c r="L63" s="591"/>
      <c r="M63" s="568"/>
      <c r="N63" s="569" t="s">
        <v>1043</v>
      </c>
      <c r="O63" s="570"/>
      <c r="P63" s="570" t="s">
        <v>280</v>
      </c>
      <c r="Q63" s="571"/>
    </row>
    <row r="64">
      <c r="A64" s="574"/>
      <c r="B64" s="575"/>
      <c r="C64" s="575"/>
      <c r="D64" s="575"/>
      <c r="E64" s="564">
        <v>43783.0</v>
      </c>
      <c r="F64" s="589" t="s">
        <v>1034</v>
      </c>
      <c r="G64" s="583" t="str">
        <f t="shared" si="4"/>
        <v>Register Here</v>
      </c>
      <c r="H64" s="567" t="s">
        <v>1129</v>
      </c>
      <c r="I64" s="567" t="s">
        <v>1037</v>
      </c>
      <c r="J64" s="562" t="s">
        <v>52</v>
      </c>
      <c r="K64" s="567" t="s">
        <v>1038</v>
      </c>
      <c r="L64" s="591"/>
      <c r="M64" s="568"/>
      <c r="N64" s="569" t="s">
        <v>1043</v>
      </c>
      <c r="O64" s="570"/>
      <c r="P64" s="570"/>
      <c r="Q64" s="571"/>
    </row>
    <row r="65">
      <c r="A65" s="574"/>
      <c r="B65" s="575"/>
      <c r="C65" s="575"/>
      <c r="D65" s="575"/>
      <c r="E65" s="584">
        <v>43784.0</v>
      </c>
      <c r="F65" s="70" t="s">
        <v>1130</v>
      </c>
      <c r="G65" s="577" t="str">
        <f>HYPERLINK("https://www.surveygizmo.com/s3/2325967/SPOC-PD-Registration","Register Here")</f>
        <v>Register Here</v>
      </c>
      <c r="H65" s="587" t="s">
        <v>1131</v>
      </c>
      <c r="I65" s="587" t="s">
        <v>226</v>
      </c>
      <c r="J65" s="588" t="s">
        <v>116</v>
      </c>
      <c r="K65" s="587" t="s">
        <v>219</v>
      </c>
      <c r="L65" s="586" t="str">
        <f>HYPERLINK("https://drive.google.com/file/d/1aI8c-W6Fo8nfu6SIE6SX83uH6IEtpZM5/view?usp=sharing","SPOC Meet-up")</f>
        <v>SPOC Meet-up</v>
      </c>
      <c r="M65" s="588" t="s">
        <v>221</v>
      </c>
      <c r="N65" s="587" t="s">
        <v>222</v>
      </c>
      <c r="O65" s="570"/>
      <c r="P65" s="570"/>
      <c r="Q65" s="571"/>
    </row>
    <row r="66">
      <c r="A66" s="561"/>
      <c r="B66" s="562"/>
      <c r="C66" s="562"/>
      <c r="D66" s="563"/>
      <c r="E66" s="576">
        <v>43787.0</v>
      </c>
      <c r="F66" s="541" t="s">
        <v>994</v>
      </c>
      <c r="G66" s="577" t="str">
        <f>HYPERLINK("https://www.echalk.com/dig-in-camps","Register for Nov 18 DigIn Camp: Basic Training")</f>
        <v>Register for Nov 18 DigIn Camp: Basic Training</v>
      </c>
      <c r="H66" s="578" t="s">
        <v>1008</v>
      </c>
      <c r="I66" s="575" t="s">
        <v>996</v>
      </c>
      <c r="J66" s="575" t="s">
        <v>437</v>
      </c>
      <c r="K66" s="575" t="s">
        <v>402</v>
      </c>
      <c r="L66" s="577" t="str">
        <f>HYPERLINK("https://docs.google.com/spreadsheets/d/12X-61HfLBxTxAESoAea0X2I4K1R-valRhC9TIkvFTzs/edit#gid=0","DigIn Camp: Basic Training Agenda")</f>
        <v>DigIn Camp: Basic Training Agenda</v>
      </c>
      <c r="M66" s="575" t="s">
        <v>221</v>
      </c>
      <c r="N66" s="575" t="s">
        <v>1070</v>
      </c>
      <c r="O66" s="570" t="s">
        <v>428</v>
      </c>
      <c r="P66" s="575" t="s">
        <v>221</v>
      </c>
      <c r="Q66" s="581"/>
    </row>
    <row r="67">
      <c r="A67" s="561"/>
      <c r="B67" s="562"/>
      <c r="C67" s="562"/>
      <c r="D67" s="563"/>
      <c r="E67" s="576">
        <v>43788.0</v>
      </c>
      <c r="F67" s="541" t="s">
        <v>988</v>
      </c>
      <c r="G67" s="577" t="str">
        <f>HYPERLINK("https://www1.nyc.gov/assets/dcas/downloads/pdf/agencies/CTC%20Application.pdf","Register for DCAS Intro to Digital Accessibility")</f>
        <v>Register for DCAS Intro to Digital Accessibility</v>
      </c>
      <c r="H67" s="578" t="s">
        <v>989</v>
      </c>
      <c r="I67" s="575" t="s">
        <v>989</v>
      </c>
      <c r="J67" s="575" t="s">
        <v>990</v>
      </c>
      <c r="K67" s="587" t="s">
        <v>1135</v>
      </c>
      <c r="L67" s="579"/>
      <c r="M67" s="575"/>
      <c r="N67" s="575"/>
      <c r="O67" s="570" t="s">
        <v>1065</v>
      </c>
      <c r="P67" s="575"/>
      <c r="Q67" s="581"/>
    </row>
    <row r="68">
      <c r="A68" s="561"/>
      <c r="B68" s="562"/>
      <c r="C68" s="562"/>
      <c r="D68" s="563"/>
      <c r="E68" s="584">
        <v>43788.0</v>
      </c>
      <c r="F68" s="70" t="s">
        <v>223</v>
      </c>
      <c r="G68" s="577" t="str">
        <f>HYPERLINK("https://www.surveygizmo.com/s3/2325967/SPOC-PD-Registration","Register Here")</f>
        <v>Register Here</v>
      </c>
      <c r="H68" s="587" t="s">
        <v>225</v>
      </c>
      <c r="I68" s="587" t="s">
        <v>226</v>
      </c>
      <c r="J68" s="588" t="s">
        <v>116</v>
      </c>
      <c r="K68" s="587" t="s">
        <v>219</v>
      </c>
      <c r="L68" s="586" t="str">
        <f>HYPERLINK("https://nycdoe.sharepoint.com/:w:/s/BKLYNTeamSharePoint/EURGvFlxPZtLjrxuedmj4TgBb0qu6YA5pGSm08OB5hEPvw?e=gUBeTg ","SPOC Meet-up")</f>
        <v>SPOC Meet-up</v>
      </c>
      <c r="M68" s="588" t="s">
        <v>221</v>
      </c>
      <c r="N68" s="587" t="s">
        <v>222</v>
      </c>
      <c r="O68" s="570" t="s">
        <v>211</v>
      </c>
      <c r="P68" s="570"/>
      <c r="Q68" s="571"/>
    </row>
    <row r="69">
      <c r="A69" s="561"/>
      <c r="B69" s="562"/>
      <c r="C69" s="562"/>
      <c r="D69" s="566" t="s">
        <v>1136</v>
      </c>
      <c r="E69" s="609">
        <v>43789.0</v>
      </c>
      <c r="F69" s="628" t="s">
        <v>497</v>
      </c>
      <c r="G69" s="629" t="s">
        <v>224</v>
      </c>
      <c r="H69" s="594" t="s">
        <v>470</v>
      </c>
      <c r="I69" s="594" t="s">
        <v>498</v>
      </c>
      <c r="J69" s="593" t="s">
        <v>472</v>
      </c>
      <c r="K69" s="594" t="s">
        <v>1024</v>
      </c>
      <c r="L69" s="630" t="s">
        <v>1137</v>
      </c>
      <c r="M69" s="568" t="s">
        <v>280</v>
      </c>
      <c r="N69" s="614" t="s">
        <v>501</v>
      </c>
      <c r="O69" s="570" t="s">
        <v>1025</v>
      </c>
      <c r="P69" s="570"/>
      <c r="Q69" s="571"/>
    </row>
    <row r="70">
      <c r="A70" s="561"/>
      <c r="B70" s="562"/>
      <c r="C70" s="562"/>
      <c r="D70" s="563"/>
      <c r="E70" s="564">
        <v>43789.0</v>
      </c>
      <c r="F70" s="589" t="s">
        <v>1138</v>
      </c>
      <c r="G70" s="583" t="str">
        <f>HYPERLINK("https://docs.google.com/forms/d/e/1FAIpQLScBEbwiUO0sVBk1ik2x8rvCoAsCIEuWPmZOounv6ubOipTG6Q/viewform","Register Here")</f>
        <v>Register Here</v>
      </c>
      <c r="H70" s="567" t="s">
        <v>423</v>
      </c>
      <c r="I70" s="567" t="s">
        <v>1141</v>
      </c>
      <c r="J70" s="562" t="s">
        <v>49</v>
      </c>
      <c r="K70" s="567" t="s">
        <v>1142</v>
      </c>
      <c r="L70" s="591" t="str">
        <f>HYPERLINK("https://docs.google.com/document/d/17hpMClS3S85VT-yN333p4K_RSvFwncxCb7-Gz5XDUE4/edit","G Suite Admin")</f>
        <v>G Suite Admin</v>
      </c>
      <c r="M70" s="568"/>
      <c r="N70" s="569"/>
      <c r="O70" s="570"/>
      <c r="P70" s="570"/>
      <c r="Q70" s="571"/>
    </row>
    <row r="71">
      <c r="A71" s="561"/>
      <c r="B71" s="562"/>
      <c r="C71" s="562"/>
      <c r="D71" s="563"/>
      <c r="E71" s="576">
        <v>43789.0</v>
      </c>
      <c r="F71" s="541" t="s">
        <v>994</v>
      </c>
      <c r="G71" s="577" t="str">
        <f>HYPERLINK("https://www.echalk.com/dig-in-camps","Register for Nov 20 DigIn Camp: Basic Training")</f>
        <v>Register for Nov 20 DigIn Camp: Basic Training</v>
      </c>
      <c r="H71" s="578" t="s">
        <v>1008</v>
      </c>
      <c r="I71" s="575" t="s">
        <v>1009</v>
      </c>
      <c r="J71" s="575" t="s">
        <v>437</v>
      </c>
      <c r="K71" s="575" t="s">
        <v>402</v>
      </c>
      <c r="L71" s="577" t="str">
        <f t="shared" ref="L71:L72" si="5">HYPERLINK("https://docs.google.com/spreadsheets/d/12X-61HfLBxTxAESoAea0X2I4K1R-valRhC9TIkvFTzs/edit#gid=0","DigIn Camp: Basic Training Agenda")</f>
        <v>DigIn Camp: Basic Training Agenda</v>
      </c>
      <c r="M71" s="575" t="s">
        <v>221</v>
      </c>
      <c r="N71" s="575" t="s">
        <v>1070</v>
      </c>
      <c r="O71" s="570" t="s">
        <v>428</v>
      </c>
      <c r="P71" s="575" t="s">
        <v>221</v>
      </c>
      <c r="Q71" s="581"/>
    </row>
    <row r="72">
      <c r="A72" s="574"/>
      <c r="B72" s="575"/>
      <c r="C72" s="575"/>
      <c r="D72" s="575"/>
      <c r="E72" s="576">
        <v>43789.0</v>
      </c>
      <c r="F72" s="541" t="s">
        <v>1014</v>
      </c>
      <c r="G72" s="577" t="str">
        <f>HYPERLINK("https://www.echalk.com/dig-in-camps","Register for Nov 20 DigIn Camp: Basic Training &amp; Beyond Basics")</f>
        <v>Register for Nov 20 DigIn Camp: Basic Training &amp; Beyond Basics</v>
      </c>
      <c r="H72" s="578" t="s">
        <v>1008</v>
      </c>
      <c r="I72" s="575" t="s">
        <v>996</v>
      </c>
      <c r="J72" s="575" t="s">
        <v>437</v>
      </c>
      <c r="K72" s="575" t="s">
        <v>402</v>
      </c>
      <c r="L72" s="577" t="str">
        <f t="shared" si="5"/>
        <v>DigIn Camp: Basic Training Agenda</v>
      </c>
      <c r="M72" s="575" t="s">
        <v>221</v>
      </c>
      <c r="N72" s="575" t="s">
        <v>1144</v>
      </c>
      <c r="O72" s="570" t="s">
        <v>428</v>
      </c>
      <c r="P72" s="575" t="s">
        <v>221</v>
      </c>
      <c r="Q72" s="581"/>
    </row>
    <row r="73">
      <c r="A73" s="574"/>
      <c r="B73" s="575"/>
      <c r="C73" s="575"/>
      <c r="D73" s="575"/>
      <c r="E73" s="576">
        <v>43791.0</v>
      </c>
      <c r="F73" s="541" t="s">
        <v>1145</v>
      </c>
      <c r="G73" s="577" t="str">
        <f>HYPERLINK("https://docs.google.com/forms/d/1y3F2tQtdoUJKU-zQr61w4P3604rhWpV7daZ2QZLA7Ko/viewform?edit_requested=true","Register for Nov 22 DigIn Camp: To Basics and Beyond!")</f>
        <v>Register for Nov 22 DigIn Camp: To Basics and Beyond!</v>
      </c>
      <c r="H73" s="631" t="s">
        <v>1062</v>
      </c>
      <c r="I73" s="575" t="s">
        <v>810</v>
      </c>
      <c r="J73" s="575" t="s">
        <v>116</v>
      </c>
      <c r="K73" s="575" t="s">
        <v>1063</v>
      </c>
      <c r="L73" s="577" t="str">
        <f>HYPERLINK("https://docs.google.com/spreadsheets/d/12X-61HfLBxTxAESoAea0X2I4K1R-valRhC9TIkvFTzs/edit#gid=1534926635","Digiin Camp: Beyond Basics Agenda")</f>
        <v>Digiin Camp: Beyond Basics Agenda</v>
      </c>
      <c r="M73" s="575" t="s">
        <v>221</v>
      </c>
      <c r="N73" s="575" t="s">
        <v>1092</v>
      </c>
      <c r="O73" s="570" t="s">
        <v>428</v>
      </c>
      <c r="P73" s="575" t="s">
        <v>221</v>
      </c>
      <c r="Q73" s="581"/>
    </row>
    <row r="74">
      <c r="A74" s="574"/>
      <c r="B74" s="575"/>
      <c r="C74" s="575"/>
      <c r="D74" s="575"/>
      <c r="E74" s="576">
        <v>43791.0</v>
      </c>
      <c r="F74" s="541" t="s">
        <v>1148</v>
      </c>
      <c r="G74" s="577" t="str">
        <f>HYPERLINK("http://bit.ly/gsuiteworkshops","Register here")</f>
        <v>Register here</v>
      </c>
      <c r="H74" s="631" t="s">
        <v>1017</v>
      </c>
      <c r="I74" s="575" t="s">
        <v>226</v>
      </c>
      <c r="J74" s="575" t="s">
        <v>1019</v>
      </c>
      <c r="K74" s="575" t="s">
        <v>402</v>
      </c>
      <c r="L74" s="577" t="str">
        <f>HYPERLINK("https://docs.google.com/document/d/1DrQkqTx1Zrxo6Zd-feNMF_4yk8X9VbGtpADB2BlSe7c/edit","Agenda")</f>
        <v>Agenda</v>
      </c>
      <c r="M74" s="575" t="s">
        <v>221</v>
      </c>
      <c r="N74" s="575" t="s">
        <v>1149</v>
      </c>
      <c r="O74" s="570" t="s">
        <v>1150</v>
      </c>
      <c r="P74" s="575" t="s">
        <v>221</v>
      </c>
      <c r="Q74" s="581"/>
    </row>
    <row r="75">
      <c r="A75" s="574"/>
      <c r="B75" s="575"/>
      <c r="C75" s="575"/>
      <c r="D75" s="575"/>
      <c r="E75" s="576">
        <v>43791.0</v>
      </c>
      <c r="F75" s="632" t="s">
        <v>1071</v>
      </c>
      <c r="G75" s="577" t="str">
        <f>HYPERLINK("https://script.google.com/macros/s/AKfycbz13TA6TRLjXeWWS4UzoZp0Si7VH0DV8Qjhco5ZG2FHe2y7j-Y/exec?id=219AP19&amp;instance=Queens+North+PL+System","Register for Nov 22 Website Accessibility Workshop")</f>
        <v>Register for Nov 22 Website Accessibility Workshop</v>
      </c>
      <c r="H75" s="578" t="s">
        <v>1072</v>
      </c>
      <c r="I75" s="575" t="s">
        <v>1073</v>
      </c>
      <c r="J75" s="575" t="s">
        <v>116</v>
      </c>
      <c r="K75" s="575" t="s">
        <v>1151</v>
      </c>
      <c r="L75" s="633"/>
      <c r="M75" s="575"/>
      <c r="N75" s="580" t="s">
        <v>1075</v>
      </c>
      <c r="O75" s="570"/>
      <c r="P75" s="575" t="s">
        <v>221</v>
      </c>
      <c r="Q75" s="581"/>
    </row>
    <row r="76">
      <c r="A76" s="574"/>
      <c r="B76" s="575"/>
      <c r="C76" s="575"/>
      <c r="D76" s="575"/>
      <c r="E76" s="584">
        <v>43802.0</v>
      </c>
      <c r="F76" s="70" t="s">
        <v>1153</v>
      </c>
      <c r="G76" s="577" t="str">
        <f>HYPERLINK("https://www.surveygizmo.com/s3/2325967/SPOC-PD-Registration","Register Here")</f>
        <v>Register Here</v>
      </c>
      <c r="H76" s="587" t="s">
        <v>243</v>
      </c>
      <c r="I76" s="587" t="s">
        <v>226</v>
      </c>
      <c r="J76" s="588" t="s">
        <v>116</v>
      </c>
      <c r="K76" s="587" t="s">
        <v>219</v>
      </c>
      <c r="L76" s="586" t="str">
        <f>HYPERLINK("https://nam01.safelinks.protection.outlook.com/ap/w-59584e83/?url=https%3A%2F%2Fnycdoe.sharepoint.com%2F%3Aw%3A%2Fr%2Fsites%2FDIITSPOCSharePoint%2FShared%2520Documents%2FSPOC%2520Meet-up%2FSPOC%2520Meet-Up%2520%2520-%2520Agenda%2520with%2520Andrew%2520Lie"&amp;"bowitz%2520Google.docx%3Fd%3Dw271d6138c79b45fab57f38999b7db52d%26csf%3D1%26e%3DVOzAxj&amp;data=02%7C01%7CNSchepi%40schools.nyc.gov%7Cd7367ac6fc3f425fa11008d721adafa0%7C18492cb7ef45456185710c42e5f7ac07%7C0%7C0%7C637014902163880630&amp;sdata=cMebobvUuTqONm76VLnLvk%"&amp;"2FbRdMCBu2kEG88Wh%2FP7so%3D&amp;reserved=0","SPOC Meet-up G Suite")</f>
        <v>SPOC Meet-up G Suite</v>
      </c>
      <c r="M76" s="588" t="s">
        <v>221</v>
      </c>
      <c r="N76" s="587" t="s">
        <v>222</v>
      </c>
      <c r="O76" s="570" t="s">
        <v>211</v>
      </c>
      <c r="P76" s="570"/>
      <c r="Q76" s="571"/>
    </row>
    <row r="77">
      <c r="A77" s="561"/>
      <c r="B77" s="562"/>
      <c r="C77" s="562"/>
      <c r="D77" s="563"/>
      <c r="E77" s="582">
        <v>43803.0</v>
      </c>
      <c r="F77" s="565" t="s">
        <v>1016</v>
      </c>
      <c r="G77" s="577" t="str">
        <f>HYPERLINK("http://bit.ly/gsuiteworkshops","Register here")</f>
        <v>Register here</v>
      </c>
      <c r="H77" s="575" t="s">
        <v>1017</v>
      </c>
      <c r="I77" s="567" t="s">
        <v>1018</v>
      </c>
      <c r="J77" s="562" t="s">
        <v>1019</v>
      </c>
      <c r="K77" s="567" t="s">
        <v>494</v>
      </c>
      <c r="L77" s="586" t="str">
        <f>HYPERLINK("http://bit.ly/gsuitepd101","Get Going with G Suite 101")</f>
        <v>Get Going with G Suite 101</v>
      </c>
      <c r="M77" s="568" t="s">
        <v>221</v>
      </c>
      <c r="N77" s="569" t="s">
        <v>1020</v>
      </c>
      <c r="O77" s="570" t="s">
        <v>1021</v>
      </c>
      <c r="P77" s="570"/>
      <c r="Q77" s="571"/>
    </row>
    <row r="78">
      <c r="A78" s="643"/>
      <c r="B78" s="644" t="s">
        <v>1049</v>
      </c>
      <c r="C78" s="644" t="s">
        <v>1050</v>
      </c>
      <c r="D78" s="644" t="s">
        <v>1051</v>
      </c>
      <c r="E78" s="645">
        <v>43804.0</v>
      </c>
      <c r="F78" s="406" t="s">
        <v>994</v>
      </c>
      <c r="G78" s="648" t="str">
        <f>HYPERLINK("https://www.echalk.com/dig-in-camps","Register for Dec 5 DigIn Camp: Basic Training")</f>
        <v>Register for Dec 5 DigIn Camp: Basic Training</v>
      </c>
      <c r="H78" s="649" t="s">
        <v>1008</v>
      </c>
      <c r="I78" s="651" t="s">
        <v>409</v>
      </c>
      <c r="J78" s="644" t="s">
        <v>437</v>
      </c>
      <c r="K78" s="644" t="s">
        <v>402</v>
      </c>
      <c r="L78" s="652" t="str">
        <f>HYPERLINK("https://docs.google.com/spreadsheets/d/12X-61HfLBxTxAESoAea0X2I4K1R-valRhC9TIkvFTzs/edit#gid=0","DigIn Camp: Basic Training Agenda")</f>
        <v>DigIn Camp: Basic Training Agenda</v>
      </c>
      <c r="M78" s="644" t="s">
        <v>221</v>
      </c>
      <c r="N78" s="651" t="s">
        <v>1182</v>
      </c>
      <c r="O78" s="653" t="s">
        <v>428</v>
      </c>
      <c r="P78" s="644" t="s">
        <v>221</v>
      </c>
      <c r="Q78" s="654"/>
    </row>
    <row r="79">
      <c r="A79" s="655"/>
      <c r="B79" s="581"/>
      <c r="C79" s="581"/>
      <c r="D79" s="581"/>
      <c r="E79" s="576">
        <v>43810.0</v>
      </c>
      <c r="F79" s="541" t="s">
        <v>1090</v>
      </c>
      <c r="G79" s="577" t="str">
        <f>HYPERLINK("https://docs.google.com/forms/d/1y3F2tQtdoUJKU-zQr61w4P3604rhWpV7daZ2QZLA7Ko/viewform?edit_requested=true","Register for Dec 11 DigIn Camp: Beyond Basics")</f>
        <v>Register for Dec 11 DigIn Camp: Beyond Basics</v>
      </c>
      <c r="H79" s="631" t="s">
        <v>1062</v>
      </c>
      <c r="I79" s="575" t="s">
        <v>810</v>
      </c>
      <c r="J79" s="575" t="s">
        <v>116</v>
      </c>
      <c r="K79" s="575" t="s">
        <v>1063</v>
      </c>
      <c r="L79" s="577" t="str">
        <f>HYPERLINK("digin.nyc/agenda","DigIn Camp: Beyond Basics agenda")</f>
        <v>DigIn Camp: Beyond Basics agenda</v>
      </c>
      <c r="M79" s="575" t="s">
        <v>221</v>
      </c>
      <c r="N79" s="575" t="s">
        <v>1186</v>
      </c>
      <c r="O79" s="570" t="s">
        <v>1065</v>
      </c>
      <c r="P79" s="575" t="s">
        <v>221</v>
      </c>
      <c r="Q79" s="581"/>
    </row>
    <row r="80">
      <c r="A80" s="655"/>
      <c r="B80" s="581"/>
      <c r="C80" s="581"/>
      <c r="D80" s="581"/>
      <c r="E80" s="564">
        <v>43810.0</v>
      </c>
      <c r="F80" s="565" t="s">
        <v>1191</v>
      </c>
      <c r="G80" s="590" t="s">
        <v>514</v>
      </c>
      <c r="H80" s="567" t="s">
        <v>470</v>
      </c>
      <c r="I80" s="567" t="s">
        <v>471</v>
      </c>
      <c r="J80" s="562" t="s">
        <v>472</v>
      </c>
      <c r="K80" s="567" t="s">
        <v>494</v>
      </c>
      <c r="L80" s="566" t="s">
        <v>1197</v>
      </c>
      <c r="M80" s="568" t="s">
        <v>280</v>
      </c>
      <c r="N80" s="569" t="s">
        <v>1198</v>
      </c>
      <c r="O80" s="570" t="s">
        <v>387</v>
      </c>
      <c r="P80" s="570"/>
      <c r="Q80" s="571"/>
    </row>
    <row r="81">
      <c r="A81" s="658"/>
      <c r="B81" s="654" t="s">
        <v>1049</v>
      </c>
      <c r="C81" s="654" t="s">
        <v>1050</v>
      </c>
      <c r="D81" s="654" t="s">
        <v>1051</v>
      </c>
      <c r="E81" s="645">
        <v>43811.0</v>
      </c>
      <c r="F81" s="406" t="s">
        <v>994</v>
      </c>
      <c r="G81" s="633" t="s">
        <v>1200</v>
      </c>
      <c r="H81" s="649" t="s">
        <v>1008</v>
      </c>
      <c r="I81" s="651" t="s">
        <v>409</v>
      </c>
      <c r="J81" s="644" t="s">
        <v>437</v>
      </c>
      <c r="K81" s="644" t="s">
        <v>402</v>
      </c>
      <c r="L81" s="652" t="str">
        <f>HYPERLINK("https://docs.google.com/spreadsheets/d/12X-61HfLBxTxAESoAea0X2I4K1R-valRhC9TIkvFTzs/edit#gid=0","DigIn Camp: Basic Training Agenda")</f>
        <v>DigIn Camp: Basic Training Agenda</v>
      </c>
      <c r="M81" s="644" t="s">
        <v>221</v>
      </c>
      <c r="N81" s="651" t="s">
        <v>1182</v>
      </c>
      <c r="O81" s="653" t="s">
        <v>428</v>
      </c>
      <c r="P81" s="644" t="s">
        <v>221</v>
      </c>
      <c r="Q81" s="654"/>
    </row>
    <row r="82">
      <c r="A82" s="662"/>
      <c r="B82" s="663"/>
      <c r="C82" s="663"/>
      <c r="D82" s="664"/>
      <c r="E82" s="564">
        <v>43812.0</v>
      </c>
      <c r="F82" s="589" t="s">
        <v>1034</v>
      </c>
      <c r="G82" s="583" t="s">
        <v>1206</v>
      </c>
      <c r="H82" s="567" t="s">
        <v>1036</v>
      </c>
      <c r="I82" s="567" t="s">
        <v>1037</v>
      </c>
      <c r="J82" s="562" t="s">
        <v>52</v>
      </c>
      <c r="K82" s="567" t="s">
        <v>1038</v>
      </c>
      <c r="L82" s="591"/>
      <c r="M82" s="568"/>
      <c r="N82" s="569" t="s">
        <v>1043</v>
      </c>
      <c r="O82" s="570"/>
      <c r="P82" s="570"/>
      <c r="Q82" s="571"/>
    </row>
    <row r="83">
      <c r="A83" s="662"/>
      <c r="B83" s="663"/>
      <c r="C83" s="663"/>
      <c r="D83" s="664"/>
      <c r="E83" s="564">
        <v>43812.0</v>
      </c>
      <c r="F83" s="589" t="s">
        <v>1209</v>
      </c>
      <c r="G83" s="583" t="s">
        <v>1210</v>
      </c>
      <c r="H83" s="567" t="s">
        <v>1211</v>
      </c>
      <c r="I83" s="567" t="s">
        <v>531</v>
      </c>
      <c r="J83" s="562" t="s">
        <v>1213</v>
      </c>
      <c r="K83" s="567" t="s">
        <v>1214</v>
      </c>
      <c r="L83" s="591"/>
      <c r="M83" s="568" t="s">
        <v>221</v>
      </c>
      <c r="N83" s="569" t="s">
        <v>1215</v>
      </c>
      <c r="O83" s="570"/>
      <c r="P83" s="570" t="s">
        <v>221</v>
      </c>
      <c r="Q83" s="571"/>
    </row>
    <row r="84">
      <c r="A84" s="662"/>
      <c r="B84" s="663"/>
      <c r="C84" s="663"/>
      <c r="D84" s="664"/>
      <c r="E84" s="564">
        <v>43812.0</v>
      </c>
      <c r="F84" s="589" t="s">
        <v>1071</v>
      </c>
      <c r="G84" s="583" t="s">
        <v>1216</v>
      </c>
      <c r="H84" s="567" t="s">
        <v>1072</v>
      </c>
      <c r="I84" s="567" t="s">
        <v>1073</v>
      </c>
      <c r="J84" s="562" t="s">
        <v>1218</v>
      </c>
      <c r="K84" s="567" t="s">
        <v>1151</v>
      </c>
      <c r="L84" s="591"/>
      <c r="M84" s="568" t="s">
        <v>280</v>
      </c>
      <c r="N84" s="569" t="s">
        <v>1075</v>
      </c>
      <c r="O84" s="570"/>
      <c r="P84" s="570" t="s">
        <v>221</v>
      </c>
      <c r="Q84" s="571"/>
    </row>
    <row r="85">
      <c r="A85" s="662"/>
      <c r="B85" s="663"/>
      <c r="C85" s="663"/>
      <c r="D85" s="664"/>
      <c r="E85" s="564">
        <v>43812.0</v>
      </c>
      <c r="F85" s="589" t="s">
        <v>1071</v>
      </c>
      <c r="G85" s="583" t="s">
        <v>1216</v>
      </c>
      <c r="H85" s="567" t="s">
        <v>1072</v>
      </c>
      <c r="I85" s="567" t="s">
        <v>1073</v>
      </c>
      <c r="J85" s="562" t="s">
        <v>1218</v>
      </c>
      <c r="K85" s="567" t="s">
        <v>1151</v>
      </c>
      <c r="L85" s="591"/>
      <c r="M85" s="568" t="s">
        <v>280</v>
      </c>
      <c r="N85" s="569" t="s">
        <v>1075</v>
      </c>
      <c r="O85" s="570"/>
      <c r="P85" s="570" t="s">
        <v>221</v>
      </c>
      <c r="Q85" s="571"/>
    </row>
    <row r="86">
      <c r="A86" s="655"/>
      <c r="B86" s="581"/>
      <c r="C86" s="581"/>
      <c r="D86" s="581"/>
      <c r="E86" s="564">
        <v>43812.0</v>
      </c>
      <c r="F86" s="565" t="s">
        <v>1034</v>
      </c>
      <c r="G86" s="583" t="str">
        <f>HYPERLINK("https://www.microsoft.com/en-us/store/event_registration/?eid=1867227130&amp;locid=103261&amp;rtc=1","Register Here")</f>
        <v>Register Here</v>
      </c>
      <c r="H86" s="567" t="s">
        <v>1036</v>
      </c>
      <c r="I86" s="567" t="s">
        <v>1037</v>
      </c>
      <c r="J86" s="562" t="s">
        <v>52</v>
      </c>
      <c r="K86" s="567" t="s">
        <v>494</v>
      </c>
      <c r="L86" s="591"/>
      <c r="M86" s="568"/>
      <c r="N86" s="569" t="s">
        <v>1043</v>
      </c>
      <c r="O86" s="570"/>
      <c r="P86" s="570"/>
      <c r="Q86" s="571"/>
    </row>
    <row r="87">
      <c r="A87" s="655"/>
      <c r="B87" s="581"/>
      <c r="C87" s="581"/>
      <c r="D87" s="581"/>
      <c r="E87" s="564">
        <v>43812.0</v>
      </c>
      <c r="F87" s="565" t="s">
        <v>1229</v>
      </c>
      <c r="G87" s="577" t="str">
        <f>HYPERLINK("http://bit.ly/gsuiteworkshops","Cancelled")</f>
        <v>Cancelled</v>
      </c>
      <c r="H87" s="575" t="s">
        <v>1230</v>
      </c>
      <c r="I87" s="587" t="s">
        <v>226</v>
      </c>
      <c r="J87" s="588" t="s">
        <v>1019</v>
      </c>
      <c r="K87" s="567" t="s">
        <v>1112</v>
      </c>
      <c r="L87" s="566"/>
      <c r="M87" s="588" t="s">
        <v>221</v>
      </c>
      <c r="N87" s="667" t="s">
        <v>1233</v>
      </c>
      <c r="O87" s="570" t="s">
        <v>1234</v>
      </c>
      <c r="P87" s="570" t="s">
        <v>221</v>
      </c>
      <c r="Q87" s="571"/>
    </row>
    <row r="88">
      <c r="A88" s="662"/>
      <c r="B88" s="663" t="s">
        <v>1049</v>
      </c>
      <c r="C88" s="663" t="s">
        <v>1050</v>
      </c>
      <c r="D88" s="664" t="s">
        <v>1051</v>
      </c>
      <c r="E88" s="564">
        <v>43816.0</v>
      </c>
      <c r="F88" s="589" t="s">
        <v>994</v>
      </c>
      <c r="G88" s="583" t="s">
        <v>1235</v>
      </c>
      <c r="H88" s="567" t="s">
        <v>1008</v>
      </c>
      <c r="I88" s="567" t="s">
        <v>996</v>
      </c>
      <c r="J88" s="562" t="s">
        <v>437</v>
      </c>
      <c r="K88" s="567" t="s">
        <v>402</v>
      </c>
      <c r="L88" s="591" t="s">
        <v>438</v>
      </c>
      <c r="M88" s="568" t="s">
        <v>221</v>
      </c>
      <c r="N88" s="569" t="s">
        <v>1237</v>
      </c>
      <c r="O88" s="570" t="s">
        <v>428</v>
      </c>
      <c r="P88" s="570" t="s">
        <v>221</v>
      </c>
      <c r="Q88" s="571"/>
    </row>
    <row r="89">
      <c r="A89" s="655"/>
      <c r="B89" s="581" t="s">
        <v>1049</v>
      </c>
      <c r="C89" s="581" t="s">
        <v>1050</v>
      </c>
      <c r="D89" s="581" t="s">
        <v>1051</v>
      </c>
      <c r="E89" s="576">
        <v>43817.0</v>
      </c>
      <c r="F89" s="541" t="s">
        <v>994</v>
      </c>
      <c r="G89" s="633" t="s">
        <v>1200</v>
      </c>
      <c r="H89" s="578" t="s">
        <v>1008</v>
      </c>
      <c r="I89" s="575" t="s">
        <v>1009</v>
      </c>
      <c r="J89" s="575" t="s">
        <v>437</v>
      </c>
      <c r="K89" s="575" t="s">
        <v>402</v>
      </c>
      <c r="L89" s="577" t="str">
        <f>HYPERLINK("https://docs.google.com/spreadsheets/d/12X-61HfLBxTxAESoAea0X2I4K1R-valRhC9TIkvFTzs/edit#gid=0","DigIn Camp: Basic Training Agenda")</f>
        <v>DigIn Camp: Basic Training Agenda</v>
      </c>
      <c r="M89" s="575" t="s">
        <v>221</v>
      </c>
      <c r="N89" s="575" t="s">
        <v>1237</v>
      </c>
      <c r="O89" s="570" t="s">
        <v>428</v>
      </c>
      <c r="P89" s="575" t="s">
        <v>221</v>
      </c>
      <c r="Q89" s="581"/>
    </row>
    <row r="90">
      <c r="A90" s="662"/>
      <c r="B90" s="663" t="s">
        <v>1049</v>
      </c>
      <c r="C90" s="663" t="s">
        <v>1050</v>
      </c>
      <c r="D90" s="664" t="s">
        <v>1051</v>
      </c>
      <c r="E90" s="564">
        <v>43817.0</v>
      </c>
      <c r="F90" s="589" t="s">
        <v>1241</v>
      </c>
      <c r="G90" s="583" t="s">
        <v>1242</v>
      </c>
      <c r="H90" s="567" t="s">
        <v>1008</v>
      </c>
      <c r="I90" s="567" t="s">
        <v>996</v>
      </c>
      <c r="J90" s="562" t="s">
        <v>437</v>
      </c>
      <c r="K90" s="567" t="s">
        <v>402</v>
      </c>
      <c r="L90" s="591" t="s">
        <v>438</v>
      </c>
      <c r="M90" s="568" t="s">
        <v>221</v>
      </c>
      <c r="N90" s="569" t="s">
        <v>1245</v>
      </c>
      <c r="O90" s="570" t="s">
        <v>428</v>
      </c>
      <c r="P90" s="570" t="s">
        <v>221</v>
      </c>
      <c r="Q90" s="571"/>
    </row>
    <row r="91">
      <c r="A91" s="662"/>
      <c r="B91" s="663" t="s">
        <v>1049</v>
      </c>
      <c r="C91" s="663" t="s">
        <v>1050</v>
      </c>
      <c r="D91" s="664" t="s">
        <v>1051</v>
      </c>
      <c r="E91" s="564">
        <v>43817.0</v>
      </c>
      <c r="F91" s="589" t="s">
        <v>1241</v>
      </c>
      <c r="G91" s="583" t="s">
        <v>1242</v>
      </c>
      <c r="H91" s="567" t="s">
        <v>1008</v>
      </c>
      <c r="I91" s="567" t="s">
        <v>996</v>
      </c>
      <c r="J91" s="562" t="s">
        <v>437</v>
      </c>
      <c r="K91" s="567" t="s">
        <v>402</v>
      </c>
      <c r="L91" s="591" t="s">
        <v>438</v>
      </c>
      <c r="M91" s="568" t="s">
        <v>221</v>
      </c>
      <c r="N91" s="569" t="s">
        <v>1245</v>
      </c>
      <c r="O91" s="570" t="s">
        <v>428</v>
      </c>
      <c r="P91" s="570" t="s">
        <v>221</v>
      </c>
      <c r="Q91" s="571"/>
    </row>
    <row r="92">
      <c r="A92" s="662"/>
      <c r="B92" s="663" t="s">
        <v>1049</v>
      </c>
      <c r="C92" s="663" t="s">
        <v>1050</v>
      </c>
      <c r="D92" s="664" t="s">
        <v>1051</v>
      </c>
      <c r="E92" s="564">
        <v>43817.0</v>
      </c>
      <c r="F92" s="589" t="s">
        <v>1241</v>
      </c>
      <c r="G92" s="583" t="s">
        <v>1242</v>
      </c>
      <c r="H92" s="567" t="s">
        <v>1008</v>
      </c>
      <c r="I92" s="567" t="s">
        <v>996</v>
      </c>
      <c r="J92" s="562" t="s">
        <v>437</v>
      </c>
      <c r="K92" s="567" t="s">
        <v>402</v>
      </c>
      <c r="L92" s="591" t="s">
        <v>438</v>
      </c>
      <c r="M92" s="568" t="s">
        <v>221</v>
      </c>
      <c r="N92" s="569" t="s">
        <v>1245</v>
      </c>
      <c r="O92" s="570" t="s">
        <v>428</v>
      </c>
      <c r="P92" s="570" t="s">
        <v>221</v>
      </c>
      <c r="Q92" s="571"/>
    </row>
    <row r="93">
      <c r="A93" s="662"/>
      <c r="B93" s="663"/>
      <c r="C93" s="663"/>
      <c r="D93" s="664"/>
      <c r="E93" s="564">
        <v>43818.0</v>
      </c>
      <c r="F93" s="589" t="s">
        <v>988</v>
      </c>
      <c r="G93" s="583" t="s">
        <v>1250</v>
      </c>
      <c r="H93" s="567" t="s">
        <v>989</v>
      </c>
      <c r="I93" s="567" t="s">
        <v>989</v>
      </c>
      <c r="J93" s="562" t="s">
        <v>990</v>
      </c>
      <c r="K93" s="567" t="s">
        <v>1135</v>
      </c>
      <c r="L93" s="591"/>
      <c r="M93" s="568"/>
      <c r="N93" s="569"/>
      <c r="O93" s="570"/>
      <c r="P93" s="570"/>
      <c r="Q93" s="571"/>
    </row>
    <row r="94">
      <c r="A94" s="655"/>
      <c r="B94" s="663" t="s">
        <v>503</v>
      </c>
      <c r="C94" s="663" t="s">
        <v>504</v>
      </c>
      <c r="D94" s="664" t="s">
        <v>505</v>
      </c>
      <c r="E94" s="564">
        <v>43818.0</v>
      </c>
      <c r="F94" s="565" t="s">
        <v>1253</v>
      </c>
      <c r="G94" s="583" t="str">
        <f>HYPERLINK("https://docs.google.com/forms/d/e/1FAIpQLSc-ipQeGqR8W8sBPX1uhiQE6sBimo8fd-wQg5P9LsG4Tie0nQ/viewform","Register Here")</f>
        <v>Register Here</v>
      </c>
      <c r="H94" s="567" t="s">
        <v>508</v>
      </c>
      <c r="I94" s="567" t="s">
        <v>509</v>
      </c>
      <c r="J94" s="562" t="s">
        <v>49</v>
      </c>
      <c r="K94" s="567" t="s">
        <v>494</v>
      </c>
      <c r="L94" s="591" t="str">
        <f>HYPERLINK("https://docs.google.com/document/d/1PK1CopTJ9X1RjfQP-dfu4OqaMbAGx1IOLMs4rnPLngM/edit#heading=h.c9r63tridy78","GEG AGENDA")</f>
        <v>GEG AGENDA</v>
      </c>
      <c r="M94" s="568" t="s">
        <v>221</v>
      </c>
      <c r="N94" s="569" t="s">
        <v>510</v>
      </c>
      <c r="O94" s="570" t="s">
        <v>511</v>
      </c>
      <c r="P94" s="570"/>
      <c r="Q94" s="571"/>
    </row>
    <row r="95">
      <c r="A95" s="662"/>
      <c r="B95" s="663" t="s">
        <v>466</v>
      </c>
      <c r="C95" s="663" t="s">
        <v>467</v>
      </c>
      <c r="D95" s="664" t="s">
        <v>468</v>
      </c>
      <c r="E95" s="564">
        <v>43818.0</v>
      </c>
      <c r="F95" s="565" t="s">
        <v>497</v>
      </c>
      <c r="G95" s="566" t="s">
        <v>514</v>
      </c>
      <c r="H95" s="567" t="s">
        <v>470</v>
      </c>
      <c r="I95" s="567" t="s">
        <v>498</v>
      </c>
      <c r="J95" s="562" t="s">
        <v>472</v>
      </c>
      <c r="K95" s="567" t="s">
        <v>499</v>
      </c>
      <c r="L95" s="566" t="s">
        <v>1269</v>
      </c>
      <c r="M95" s="568" t="s">
        <v>280</v>
      </c>
      <c r="N95" s="569" t="s">
        <v>501</v>
      </c>
      <c r="O95" s="570" t="s">
        <v>1025</v>
      </c>
      <c r="P95" s="570"/>
      <c r="Q95" s="571"/>
    </row>
    <row r="96">
      <c r="A96" s="662"/>
      <c r="B96" s="675"/>
      <c r="C96" s="675"/>
      <c r="D96" s="664"/>
      <c r="E96" s="584">
        <v>43818.0</v>
      </c>
      <c r="F96" s="70" t="s">
        <v>223</v>
      </c>
      <c r="G96" s="577" t="str">
        <f t="shared" ref="G96:G97" si="6">HYPERLINK("https://www.surveygizmo.com/s3/2325967/SPOC-PD-Registration","Register Here")</f>
        <v>Register Here</v>
      </c>
      <c r="H96" s="587" t="s">
        <v>225</v>
      </c>
      <c r="I96" s="587" t="s">
        <v>226</v>
      </c>
      <c r="J96" s="588" t="s">
        <v>116</v>
      </c>
      <c r="K96" s="587" t="s">
        <v>219</v>
      </c>
      <c r="L96" s="586" t="str">
        <f>HYPERLINK("https://nycdoe.sharepoint.com/:w:/s/BKLYNTeamSharePoint/EURGvFlxPZtLjrxuedmj4TgBb0qu6YA5pGSm08OB5hEPvw?e=gUBeTg ","SPOC Meet-up")</f>
        <v>SPOC Meet-up</v>
      </c>
      <c r="M96" s="588" t="s">
        <v>221</v>
      </c>
      <c r="N96" s="587" t="s">
        <v>222</v>
      </c>
      <c r="O96" s="570" t="s">
        <v>211</v>
      </c>
      <c r="P96" s="570"/>
      <c r="Q96" s="571"/>
    </row>
    <row r="97">
      <c r="A97" s="662"/>
      <c r="B97" s="675"/>
      <c r="C97" s="675"/>
      <c r="D97" s="664"/>
      <c r="E97" s="584">
        <v>43819.0</v>
      </c>
      <c r="F97" s="70" t="s">
        <v>1126</v>
      </c>
      <c r="G97" s="577" t="str">
        <f t="shared" si="6"/>
        <v>Register Here</v>
      </c>
      <c r="H97" s="587" t="s">
        <v>1278</v>
      </c>
      <c r="I97" s="587" t="s">
        <v>226</v>
      </c>
      <c r="J97" s="588" t="s">
        <v>116</v>
      </c>
      <c r="K97" s="587" t="s">
        <v>219</v>
      </c>
      <c r="L97" s="586" t="str">
        <f>HYPERLINK("https://nam01.safelinks.protection.outlook.com/ap/w-59584e83/?url=https%3A%2F%2Fnycdoe.sharepoint.com%2F%3Aw%3A%2Fs%2Fbronxtechnologyteam%2FESRLQ6uk7YJGmO2vWnWGa90BjNqndbFMJs2rhSkKBw61Uw%3Fe%3DaxhM0D&amp;data=02%7C01%7CNSchepi%40schools.nyc.gov%7C2d7e31e6211e"&amp;"4ef6d69408d74d99b692%7C18492cb7ef45456185710c42e5f7ac07%7C0%7C0%7C637063194891447904&amp;sdata=lROGucxNA0GWReYhZ8kvhkpwIeL%2FQ1wKp9yto%2BNRg7Y%3D&amp;reserved=0","SPOC Meet-up")</f>
        <v>SPOC Meet-up</v>
      </c>
      <c r="M97" s="588" t="s">
        <v>221</v>
      </c>
      <c r="N97" s="587" t="s">
        <v>222</v>
      </c>
      <c r="O97" s="570" t="s">
        <v>211</v>
      </c>
      <c r="P97" s="570"/>
      <c r="Q97" s="571"/>
    </row>
    <row r="98">
      <c r="A98" s="662"/>
      <c r="B98" s="663" t="s">
        <v>466</v>
      </c>
      <c r="C98" s="663" t="s">
        <v>467</v>
      </c>
      <c r="D98" s="664" t="s">
        <v>468</v>
      </c>
      <c r="E98" s="564">
        <v>43838.0</v>
      </c>
      <c r="F98" s="589" t="s">
        <v>513</v>
      </c>
      <c r="G98" s="590" t="s">
        <v>514</v>
      </c>
      <c r="H98" s="567" t="s">
        <v>470</v>
      </c>
      <c r="I98" s="567" t="s">
        <v>471</v>
      </c>
      <c r="J98" s="562" t="s">
        <v>472</v>
      </c>
      <c r="K98" s="567" t="s">
        <v>494</v>
      </c>
      <c r="L98" s="566" t="s">
        <v>513</v>
      </c>
      <c r="M98" s="568" t="s">
        <v>280</v>
      </c>
      <c r="N98" s="569" t="s">
        <v>515</v>
      </c>
      <c r="O98" s="570" t="s">
        <v>496</v>
      </c>
      <c r="P98" s="570"/>
      <c r="Q98" s="571"/>
    </row>
    <row r="99">
      <c r="A99" s="678" t="s">
        <v>1297</v>
      </c>
      <c r="B99" s="663"/>
      <c r="C99" s="663"/>
      <c r="D99" s="664"/>
      <c r="E99" s="564">
        <v>43840.0</v>
      </c>
      <c r="F99" s="565" t="s">
        <v>406</v>
      </c>
      <c r="G99" s="566" t="s">
        <v>1200</v>
      </c>
      <c r="H99" s="567" t="s">
        <v>1298</v>
      </c>
      <c r="I99" s="567" t="s">
        <v>1299</v>
      </c>
      <c r="J99" s="562" t="s">
        <v>116</v>
      </c>
      <c r="K99" s="567" t="s">
        <v>402</v>
      </c>
      <c r="L99" s="566" t="s">
        <v>447</v>
      </c>
      <c r="M99" s="568" t="s">
        <v>221</v>
      </c>
      <c r="N99" s="569" t="s">
        <v>462</v>
      </c>
      <c r="O99" s="570"/>
      <c r="P99" s="570" t="s">
        <v>221</v>
      </c>
      <c r="Q99" s="571"/>
    </row>
    <row r="100">
      <c r="A100" s="678" t="s">
        <v>1297</v>
      </c>
      <c r="B100" s="663"/>
      <c r="C100" s="663"/>
      <c r="D100" s="664"/>
      <c r="E100" s="564">
        <v>43840.0</v>
      </c>
      <c r="F100" s="565" t="s">
        <v>447</v>
      </c>
      <c r="G100" s="566" t="s">
        <v>1200</v>
      </c>
      <c r="H100" s="567" t="s">
        <v>1298</v>
      </c>
      <c r="I100" s="567" t="s">
        <v>444</v>
      </c>
      <c r="J100" s="562" t="s">
        <v>116</v>
      </c>
      <c r="K100" s="567" t="s">
        <v>402</v>
      </c>
      <c r="L100" s="566" t="s">
        <v>447</v>
      </c>
      <c r="M100" s="568" t="s">
        <v>221</v>
      </c>
      <c r="N100" s="569" t="s">
        <v>462</v>
      </c>
      <c r="O100" s="570"/>
      <c r="P100" s="570" t="s">
        <v>221</v>
      </c>
      <c r="Q100" s="571"/>
    </row>
    <row r="101">
      <c r="A101" s="678" t="s">
        <v>1297</v>
      </c>
      <c r="B101" s="663"/>
      <c r="C101" s="663"/>
      <c r="D101" s="664"/>
      <c r="E101" s="564">
        <v>43840.0</v>
      </c>
      <c r="F101" s="565" t="s">
        <v>447</v>
      </c>
      <c r="G101" s="566" t="s">
        <v>1200</v>
      </c>
      <c r="H101" s="567" t="s">
        <v>1298</v>
      </c>
      <c r="I101" s="567" t="s">
        <v>444</v>
      </c>
      <c r="J101" s="562" t="s">
        <v>116</v>
      </c>
      <c r="K101" s="567" t="s">
        <v>402</v>
      </c>
      <c r="L101" s="566" t="s">
        <v>447</v>
      </c>
      <c r="M101" s="568" t="s">
        <v>221</v>
      </c>
      <c r="N101" s="569" t="s">
        <v>462</v>
      </c>
      <c r="O101" s="570"/>
      <c r="P101" s="570" t="s">
        <v>221</v>
      </c>
      <c r="Q101" s="571"/>
    </row>
    <row r="102">
      <c r="A102" s="678"/>
      <c r="B102" s="663"/>
      <c r="C102" s="663"/>
      <c r="D102" s="664"/>
      <c r="E102" s="564">
        <v>43845.0</v>
      </c>
      <c r="F102" s="565" t="s">
        <v>417</v>
      </c>
      <c r="G102" s="566" t="s">
        <v>1200</v>
      </c>
      <c r="H102" s="567" t="s">
        <v>1298</v>
      </c>
      <c r="I102" s="567" t="s">
        <v>444</v>
      </c>
      <c r="J102" s="562" t="s">
        <v>116</v>
      </c>
      <c r="K102" s="567" t="s">
        <v>278</v>
      </c>
      <c r="L102" s="566" t="s">
        <v>438</v>
      </c>
      <c r="M102" s="568" t="s">
        <v>221</v>
      </c>
      <c r="N102" s="569" t="s">
        <v>1303</v>
      </c>
      <c r="O102" s="570"/>
      <c r="P102" s="570" t="s">
        <v>221</v>
      </c>
      <c r="Q102" s="571"/>
    </row>
    <row r="103">
      <c r="A103" s="662"/>
      <c r="B103" s="663"/>
      <c r="C103" s="663"/>
      <c r="D103" s="664"/>
      <c r="E103" s="564">
        <v>43845.0</v>
      </c>
      <c r="F103" s="589" t="s">
        <v>1305</v>
      </c>
      <c r="G103" s="583" t="str">
        <f>HYPERLINK("https://forms.office.com/Pages/ResponsePage.aspx?id=tyxJGEXvYUWFcQxC5fesB0rsrGTQV9pHke4CgTwY7uFURURaTDFDTUtaUEYzTkJHSk5LQ0lMM1RCSS4u","Register here")</f>
        <v>Register here</v>
      </c>
      <c r="H103" s="679" t="s">
        <v>1308</v>
      </c>
      <c r="I103" s="567" t="s">
        <v>1311</v>
      </c>
      <c r="J103" s="562" t="s">
        <v>52</v>
      </c>
      <c r="K103" s="567" t="s">
        <v>1312</v>
      </c>
      <c r="L103" s="566"/>
      <c r="M103" s="568" t="s">
        <v>280</v>
      </c>
      <c r="N103" s="569"/>
      <c r="O103" s="570"/>
      <c r="P103" s="570"/>
      <c r="Q103" s="571"/>
    </row>
    <row r="104">
      <c r="A104" s="678"/>
      <c r="B104" s="663"/>
      <c r="C104" s="663"/>
      <c r="D104" s="664"/>
      <c r="E104" s="564">
        <v>43847.0</v>
      </c>
      <c r="F104" s="565" t="s">
        <v>417</v>
      </c>
      <c r="G104" s="566" t="s">
        <v>1313</v>
      </c>
      <c r="H104" s="567" t="s">
        <v>431</v>
      </c>
      <c r="I104" s="567" t="s">
        <v>409</v>
      </c>
      <c r="J104" s="562" t="s">
        <v>116</v>
      </c>
      <c r="K104" s="567" t="s">
        <v>278</v>
      </c>
      <c r="L104" s="566" t="s">
        <v>438</v>
      </c>
      <c r="M104" s="568" t="s">
        <v>221</v>
      </c>
      <c r="N104" s="569" t="s">
        <v>1303</v>
      </c>
      <c r="O104" s="570"/>
      <c r="P104" s="570" t="s">
        <v>221</v>
      </c>
      <c r="Q104" s="571"/>
    </row>
    <row r="105">
      <c r="A105" s="678"/>
      <c r="B105" s="663"/>
      <c r="C105" s="663"/>
      <c r="D105" s="664"/>
      <c r="E105" s="564">
        <v>43847.0</v>
      </c>
      <c r="F105" s="565" t="s">
        <v>1314</v>
      </c>
      <c r="G105" s="566" t="s">
        <v>1200</v>
      </c>
      <c r="H105" s="567" t="s">
        <v>431</v>
      </c>
      <c r="I105" s="567" t="s">
        <v>444</v>
      </c>
      <c r="J105" s="562" t="s">
        <v>116</v>
      </c>
      <c r="K105" s="567" t="s">
        <v>402</v>
      </c>
      <c r="L105" s="566" t="s">
        <v>447</v>
      </c>
      <c r="M105" s="568" t="s">
        <v>221</v>
      </c>
      <c r="N105" s="569" t="s">
        <v>462</v>
      </c>
      <c r="O105" s="570"/>
      <c r="P105" s="570" t="s">
        <v>221</v>
      </c>
      <c r="Q105" s="571"/>
    </row>
    <row r="106">
      <c r="A106" s="678"/>
      <c r="B106" s="663"/>
      <c r="C106" s="663"/>
      <c r="D106" s="664"/>
      <c r="E106" s="564">
        <v>43847.0</v>
      </c>
      <c r="F106" s="565" t="s">
        <v>1314</v>
      </c>
      <c r="G106" s="566" t="s">
        <v>1200</v>
      </c>
      <c r="H106" s="567" t="s">
        <v>431</v>
      </c>
      <c r="I106" s="567" t="s">
        <v>444</v>
      </c>
      <c r="J106" s="562" t="s">
        <v>116</v>
      </c>
      <c r="K106" s="567" t="s">
        <v>402</v>
      </c>
      <c r="L106" s="566" t="s">
        <v>447</v>
      </c>
      <c r="M106" s="568" t="s">
        <v>221</v>
      </c>
      <c r="N106" s="569" t="s">
        <v>462</v>
      </c>
      <c r="O106" s="570"/>
      <c r="P106" s="570" t="s">
        <v>221</v>
      </c>
      <c r="Q106" s="571"/>
    </row>
    <row r="107">
      <c r="A107" s="662"/>
      <c r="B107" s="675" t="s">
        <v>466</v>
      </c>
      <c r="C107" s="675" t="s">
        <v>467</v>
      </c>
      <c r="D107" s="664" t="s">
        <v>468</v>
      </c>
      <c r="E107" s="564">
        <v>43851.0</v>
      </c>
      <c r="F107" s="565" t="s">
        <v>497</v>
      </c>
      <c r="G107" s="566" t="s">
        <v>514</v>
      </c>
      <c r="H107" s="567" t="s">
        <v>1322</v>
      </c>
      <c r="I107" s="567" t="s">
        <v>498</v>
      </c>
      <c r="J107" s="568" t="s">
        <v>472</v>
      </c>
      <c r="K107" s="567" t="s">
        <v>1024</v>
      </c>
      <c r="L107" s="566" t="s">
        <v>497</v>
      </c>
      <c r="M107" s="568" t="s">
        <v>280</v>
      </c>
      <c r="N107" s="667" t="s">
        <v>1326</v>
      </c>
      <c r="O107" s="570" t="s">
        <v>502</v>
      </c>
      <c r="P107" s="570"/>
      <c r="Q107" s="571"/>
    </row>
    <row r="108">
      <c r="A108" s="678"/>
      <c r="B108" s="663"/>
      <c r="C108" s="663"/>
      <c r="D108" s="664"/>
      <c r="E108" s="564">
        <v>43852.0</v>
      </c>
      <c r="F108" s="565" t="s">
        <v>1327</v>
      </c>
      <c r="G108" s="566" t="s">
        <v>1328</v>
      </c>
      <c r="H108" s="567" t="s">
        <v>431</v>
      </c>
      <c r="I108" s="567" t="s">
        <v>444</v>
      </c>
      <c r="J108" s="562" t="s">
        <v>116</v>
      </c>
      <c r="K108" s="567" t="s">
        <v>278</v>
      </c>
      <c r="L108" s="566" t="s">
        <v>1329</v>
      </c>
      <c r="M108" s="568" t="s">
        <v>221</v>
      </c>
      <c r="N108" s="569" t="s">
        <v>405</v>
      </c>
      <c r="O108" s="570"/>
      <c r="P108" s="570" t="s">
        <v>221</v>
      </c>
      <c r="Q108" s="571"/>
    </row>
    <row r="109">
      <c r="A109" s="678"/>
      <c r="B109" s="663"/>
      <c r="C109" s="663"/>
      <c r="D109" s="664"/>
      <c r="E109" s="564">
        <v>43854.0</v>
      </c>
      <c r="F109" s="565" t="s">
        <v>406</v>
      </c>
      <c r="G109" s="566" t="s">
        <v>1331</v>
      </c>
      <c r="H109" s="567" t="s">
        <v>431</v>
      </c>
      <c r="I109" s="567" t="s">
        <v>409</v>
      </c>
      <c r="J109" s="562" t="s">
        <v>116</v>
      </c>
      <c r="K109" s="567" t="s">
        <v>278</v>
      </c>
      <c r="L109" s="682" t="s">
        <v>438</v>
      </c>
      <c r="M109" s="568" t="s">
        <v>221</v>
      </c>
      <c r="N109" s="569" t="s">
        <v>1303</v>
      </c>
      <c r="O109" s="570"/>
      <c r="P109" s="570" t="s">
        <v>221</v>
      </c>
      <c r="Q109" s="571"/>
    </row>
    <row r="110">
      <c r="A110" s="678"/>
      <c r="B110" s="663"/>
      <c r="C110" s="663"/>
      <c r="D110" s="664"/>
      <c r="E110" s="564">
        <v>43854.0</v>
      </c>
      <c r="F110" s="565" t="s">
        <v>447</v>
      </c>
      <c r="G110" s="566" t="s">
        <v>1333</v>
      </c>
      <c r="H110" s="567" t="s">
        <v>431</v>
      </c>
      <c r="I110" s="567" t="s">
        <v>444</v>
      </c>
      <c r="J110" s="562" t="s">
        <v>116</v>
      </c>
      <c r="K110" s="567" t="s">
        <v>402</v>
      </c>
      <c r="L110" s="566" t="s">
        <v>447</v>
      </c>
      <c r="M110" s="568" t="s">
        <v>221</v>
      </c>
      <c r="N110" s="569" t="s">
        <v>462</v>
      </c>
      <c r="O110" s="570"/>
      <c r="P110" s="570" t="s">
        <v>221</v>
      </c>
      <c r="Q110" s="571"/>
    </row>
    <row r="111">
      <c r="A111" s="678"/>
      <c r="B111" s="663"/>
      <c r="C111" s="663"/>
      <c r="D111" s="664"/>
      <c r="E111" s="564">
        <v>43854.0</v>
      </c>
      <c r="F111" s="565" t="s">
        <v>447</v>
      </c>
      <c r="G111" s="566" t="s">
        <v>1333</v>
      </c>
      <c r="H111" s="567" t="s">
        <v>431</v>
      </c>
      <c r="I111" s="567" t="s">
        <v>444</v>
      </c>
      <c r="J111" s="562" t="s">
        <v>116</v>
      </c>
      <c r="K111" s="567" t="s">
        <v>402</v>
      </c>
      <c r="L111" s="682" t="s">
        <v>447</v>
      </c>
      <c r="M111" s="568" t="s">
        <v>221</v>
      </c>
      <c r="N111" s="569" t="s">
        <v>462</v>
      </c>
      <c r="O111" s="570"/>
      <c r="P111" s="570" t="s">
        <v>221</v>
      </c>
      <c r="Q111" s="571"/>
    </row>
    <row r="112">
      <c r="A112" s="684"/>
      <c r="B112" s="562"/>
      <c r="C112" s="562"/>
      <c r="D112" s="563"/>
      <c r="E112" s="564">
        <v>43857.0</v>
      </c>
      <c r="F112" s="565" t="s">
        <v>1337</v>
      </c>
      <c r="G112" s="566" t="s">
        <v>1338</v>
      </c>
      <c r="H112" s="567" t="s">
        <v>431</v>
      </c>
      <c r="I112" s="567" t="s">
        <v>444</v>
      </c>
      <c r="J112" s="562" t="s">
        <v>1339</v>
      </c>
      <c r="K112" s="567" t="s">
        <v>402</v>
      </c>
      <c r="L112" s="591" t="str">
        <f>HYPERLINK("https://docs.google.com/document/d/1W8E9CWGCczeqswryMKRfgq8dIbBeVjcYfngYl0_7OqY/edit","Make my wordpress accessible agenda")</f>
        <v>Make my wordpress accessible agenda</v>
      </c>
      <c r="M112" s="568" t="s">
        <v>221</v>
      </c>
      <c r="N112" s="569" t="s">
        <v>1341</v>
      </c>
      <c r="O112" s="570"/>
      <c r="P112" s="570" t="s">
        <v>221</v>
      </c>
      <c r="Q112" s="571"/>
    </row>
    <row r="113">
      <c r="A113" s="685"/>
      <c r="B113" s="685"/>
      <c r="C113" s="685"/>
      <c r="D113" s="685"/>
      <c r="E113" s="564">
        <v>43857.0</v>
      </c>
      <c r="F113" s="686" t="s">
        <v>1343</v>
      </c>
      <c r="G113" s="687" t="str">
        <f>HYPERLINK("https://www.eventbrite.com/e/newslitcamp-in-new-york-city-registration-85028292913","Register for NewsLitCamp")</f>
        <v>Register for NewsLitCamp</v>
      </c>
      <c r="H113" s="688" t="s">
        <v>1354</v>
      </c>
      <c r="I113" s="686" t="s">
        <v>1355</v>
      </c>
      <c r="J113" s="686" t="s">
        <v>1356</v>
      </c>
      <c r="K113" s="686" t="s">
        <v>494</v>
      </c>
      <c r="L113" s="690"/>
      <c r="M113" s="686" t="s">
        <v>221</v>
      </c>
      <c r="N113" s="686" t="s">
        <v>1358</v>
      </c>
      <c r="O113" s="686" t="s">
        <v>1359</v>
      </c>
      <c r="P113" s="686" t="s">
        <v>280</v>
      </c>
      <c r="Q113" s="691"/>
    </row>
    <row r="114">
      <c r="A114" s="692"/>
      <c r="B114" s="693"/>
      <c r="C114" s="694"/>
      <c r="D114" s="695"/>
      <c r="E114" s="564">
        <v>43858.0</v>
      </c>
      <c r="F114" s="589" t="s">
        <v>1360</v>
      </c>
      <c r="G114" s="583" t="str">
        <f>HYPERLINK("https://www.microsoftevents.com/profile/form/index.cfm?PKformID=0x8599724abcd","Register here")</f>
        <v>Register here</v>
      </c>
      <c r="H114" s="567" t="s">
        <v>1362</v>
      </c>
      <c r="I114" s="567" t="s">
        <v>1363</v>
      </c>
      <c r="J114" s="562" t="s">
        <v>52</v>
      </c>
      <c r="K114" s="567" t="s">
        <v>1364</v>
      </c>
      <c r="L114" s="591" t="s">
        <v>1365</v>
      </c>
      <c r="M114" s="568" t="s">
        <v>280</v>
      </c>
      <c r="N114" s="696" t="s">
        <v>1366</v>
      </c>
      <c r="O114" s="570" t="s">
        <v>55</v>
      </c>
      <c r="P114" s="570"/>
      <c r="Q114" s="571"/>
    </row>
    <row r="115">
      <c r="A115" s="678"/>
      <c r="B115" s="663"/>
      <c r="C115" s="663"/>
      <c r="D115" s="664"/>
      <c r="E115" s="564">
        <v>43859.0</v>
      </c>
      <c r="F115" s="565" t="s">
        <v>1367</v>
      </c>
      <c r="G115" s="566" t="s">
        <v>1368</v>
      </c>
      <c r="H115" s="567" t="s">
        <v>431</v>
      </c>
      <c r="I115" s="567" t="s">
        <v>409</v>
      </c>
      <c r="J115" s="562" t="s">
        <v>1339</v>
      </c>
      <c r="K115" s="567" t="s">
        <v>402</v>
      </c>
      <c r="L115" s="591" t="str">
        <f>HYPERLINK("https://docs.google.com/document/d/1PDiINhWd4vYVdimOOWHraqECpPSvSCwxlUIqkVr8bwE/edit","Create an accessible Wordpress site agenda")</f>
        <v>Create an accessible Wordpress site agenda</v>
      </c>
      <c r="M115" s="568" t="s">
        <v>221</v>
      </c>
      <c r="N115" s="569" t="s">
        <v>1370</v>
      </c>
      <c r="O115" s="570"/>
      <c r="P115" s="570" t="s">
        <v>221</v>
      </c>
      <c r="Q115" s="571"/>
    </row>
    <row r="116">
      <c r="A116" s="678"/>
      <c r="B116" s="663"/>
      <c r="C116" s="663"/>
      <c r="D116" s="664"/>
      <c r="E116" s="697">
        <v>43859.0</v>
      </c>
      <c r="F116" s="698" t="s">
        <v>1337</v>
      </c>
      <c r="G116" s="682" t="s">
        <v>1371</v>
      </c>
      <c r="H116" s="699" t="s">
        <v>431</v>
      </c>
      <c r="I116" s="699" t="s">
        <v>444</v>
      </c>
      <c r="J116" s="663" t="s">
        <v>1339</v>
      </c>
      <c r="K116" s="699" t="s">
        <v>402</v>
      </c>
      <c r="L116" s="700" t="str">
        <f>HYPERLINK("https://docs.google.com/document/d/1W8E9CWGCczeqswryMKRfgq8dIbBeVjcYfngYl0_7OqY/edit","Make my wordpress accessible agenda")</f>
        <v>Make my wordpress accessible agenda</v>
      </c>
      <c r="M116" s="675" t="s">
        <v>221</v>
      </c>
      <c r="N116" s="701" t="s">
        <v>1341</v>
      </c>
      <c r="O116" s="571"/>
      <c r="P116" s="571" t="s">
        <v>221</v>
      </c>
      <c r="Q116" s="571"/>
    </row>
    <row r="117">
      <c r="A117" s="678"/>
      <c r="B117" s="663"/>
      <c r="C117" s="663"/>
      <c r="D117" s="664"/>
      <c r="E117" s="697">
        <v>43866.0</v>
      </c>
      <c r="F117" s="698" t="s">
        <v>1375</v>
      </c>
      <c r="G117" s="682" t="s">
        <v>975</v>
      </c>
      <c r="H117" s="699" t="s">
        <v>431</v>
      </c>
      <c r="I117" s="699" t="s">
        <v>1376</v>
      </c>
      <c r="J117" s="663" t="s">
        <v>437</v>
      </c>
      <c r="K117" s="699" t="s">
        <v>402</v>
      </c>
      <c r="L117" s="682" t="s">
        <v>438</v>
      </c>
      <c r="M117" s="675" t="s">
        <v>221</v>
      </c>
      <c r="N117" s="701" t="s">
        <v>439</v>
      </c>
      <c r="O117" s="571"/>
      <c r="P117" s="571" t="s">
        <v>221</v>
      </c>
      <c r="Q117" s="571"/>
    </row>
    <row r="118">
      <c r="A118" s="678"/>
      <c r="B118" s="663"/>
      <c r="C118" s="663"/>
      <c r="D118" s="664"/>
      <c r="E118" s="697">
        <v>43866.0</v>
      </c>
      <c r="F118" s="698" t="s">
        <v>1377</v>
      </c>
      <c r="G118" s="682" t="s">
        <v>634</v>
      </c>
      <c r="H118" s="699" t="s">
        <v>431</v>
      </c>
      <c r="I118" s="699" t="s">
        <v>444</v>
      </c>
      <c r="J118" s="663" t="s">
        <v>116</v>
      </c>
      <c r="K118" s="699" t="s">
        <v>402</v>
      </c>
      <c r="L118" s="682" t="s">
        <v>447</v>
      </c>
      <c r="M118" s="675" t="s">
        <v>221</v>
      </c>
      <c r="N118" s="701" t="s">
        <v>462</v>
      </c>
      <c r="O118" s="571" t="s">
        <v>428</v>
      </c>
      <c r="P118" s="571" t="s">
        <v>221</v>
      </c>
      <c r="Q118" s="571"/>
    </row>
    <row r="119">
      <c r="A119" s="678"/>
      <c r="B119" s="663"/>
      <c r="C119" s="663"/>
      <c r="D119" s="664"/>
      <c r="E119" s="697">
        <v>43866.0</v>
      </c>
      <c r="F119" s="698" t="s">
        <v>1377</v>
      </c>
      <c r="G119" s="682" t="s">
        <v>634</v>
      </c>
      <c r="H119" s="699" t="s">
        <v>431</v>
      </c>
      <c r="I119" s="699" t="s">
        <v>444</v>
      </c>
      <c r="J119" s="663" t="s">
        <v>116</v>
      </c>
      <c r="K119" s="699" t="s">
        <v>402</v>
      </c>
      <c r="L119" s="682" t="s">
        <v>447</v>
      </c>
      <c r="M119" s="675" t="s">
        <v>221</v>
      </c>
      <c r="N119" s="701" t="s">
        <v>462</v>
      </c>
      <c r="O119" s="571" t="s">
        <v>428</v>
      </c>
      <c r="P119" s="571" t="s">
        <v>221</v>
      </c>
      <c r="Q119" s="571"/>
    </row>
    <row r="120">
      <c r="A120" s="678"/>
      <c r="B120" s="663"/>
      <c r="C120" s="663"/>
      <c r="D120" s="664"/>
      <c r="E120" s="697">
        <v>43868.0</v>
      </c>
      <c r="F120" s="698" t="s">
        <v>1380</v>
      </c>
      <c r="G120" s="682" t="s">
        <v>634</v>
      </c>
      <c r="H120" s="699" t="s">
        <v>431</v>
      </c>
      <c r="I120" s="699" t="s">
        <v>448</v>
      </c>
      <c r="J120" s="663" t="s">
        <v>437</v>
      </c>
      <c r="K120" s="699" t="s">
        <v>402</v>
      </c>
      <c r="L120" s="682" t="s">
        <v>1329</v>
      </c>
      <c r="M120" s="675" t="s">
        <v>221</v>
      </c>
      <c r="N120" s="701" t="s">
        <v>405</v>
      </c>
      <c r="O120" s="571" t="s">
        <v>428</v>
      </c>
      <c r="P120" s="571" t="s">
        <v>221</v>
      </c>
      <c r="Q120" s="571"/>
    </row>
    <row r="121">
      <c r="A121" s="678"/>
      <c r="B121" s="663"/>
      <c r="C121" s="663"/>
      <c r="D121" s="664"/>
      <c r="E121" s="697">
        <v>43872.0</v>
      </c>
      <c r="F121" s="698" t="s">
        <v>1381</v>
      </c>
      <c r="G121" s="682" t="s">
        <v>1382</v>
      </c>
      <c r="H121" s="699" t="s">
        <v>1384</v>
      </c>
      <c r="I121" s="699" t="s">
        <v>1385</v>
      </c>
      <c r="J121" s="663" t="s">
        <v>52</v>
      </c>
      <c r="K121" s="699" t="s">
        <v>1386</v>
      </c>
      <c r="L121" s="682"/>
      <c r="M121" s="675" t="s">
        <v>280</v>
      </c>
      <c r="N121" s="701" t="s">
        <v>1387</v>
      </c>
      <c r="O121" s="571"/>
      <c r="P121" s="571"/>
      <c r="Q121" s="571"/>
    </row>
    <row r="122">
      <c r="A122" s="678"/>
      <c r="B122" s="663"/>
      <c r="C122" s="663"/>
      <c r="D122" s="664"/>
      <c r="E122" s="697">
        <v>43873.0</v>
      </c>
      <c r="F122" s="698" t="s">
        <v>445</v>
      </c>
      <c r="G122" s="682" t="s">
        <v>982</v>
      </c>
      <c r="H122" s="699" t="s">
        <v>431</v>
      </c>
      <c r="I122" s="699" t="s">
        <v>1376</v>
      </c>
      <c r="J122" s="663" t="s">
        <v>437</v>
      </c>
      <c r="K122" s="699" t="s">
        <v>402</v>
      </c>
      <c r="L122" s="682" t="s">
        <v>438</v>
      </c>
      <c r="M122" s="675" t="s">
        <v>221</v>
      </c>
      <c r="N122" s="701" t="s">
        <v>439</v>
      </c>
      <c r="O122" s="571" t="s">
        <v>428</v>
      </c>
      <c r="P122" s="571" t="s">
        <v>221</v>
      </c>
      <c r="Q122" s="571"/>
    </row>
    <row r="123">
      <c r="A123" s="678"/>
      <c r="B123" s="663"/>
      <c r="C123" s="663"/>
      <c r="D123" s="664"/>
      <c r="E123" s="697">
        <v>43873.0</v>
      </c>
      <c r="F123" s="698" t="s">
        <v>447</v>
      </c>
      <c r="G123" s="682" t="s">
        <v>1388</v>
      </c>
      <c r="H123" s="699" t="s">
        <v>431</v>
      </c>
      <c r="I123" s="699" t="s">
        <v>448</v>
      </c>
      <c r="J123" s="663" t="s">
        <v>116</v>
      </c>
      <c r="K123" s="699" t="s">
        <v>402</v>
      </c>
      <c r="L123" s="682" t="s">
        <v>447</v>
      </c>
      <c r="M123" s="675" t="s">
        <v>221</v>
      </c>
      <c r="N123" s="701" t="s">
        <v>462</v>
      </c>
      <c r="O123" s="571" t="s">
        <v>428</v>
      </c>
      <c r="P123" s="571" t="s">
        <v>221</v>
      </c>
      <c r="Q123" s="571"/>
    </row>
    <row r="124">
      <c r="A124" s="678"/>
      <c r="B124" s="663"/>
      <c r="C124" s="663"/>
      <c r="D124" s="664"/>
      <c r="E124" s="697">
        <v>43873.0</v>
      </c>
      <c r="F124" s="698" t="s">
        <v>447</v>
      </c>
      <c r="G124" s="682" t="s">
        <v>1388</v>
      </c>
      <c r="H124" s="699" t="s">
        <v>431</v>
      </c>
      <c r="I124" s="699" t="s">
        <v>448</v>
      </c>
      <c r="J124" s="663" t="s">
        <v>116</v>
      </c>
      <c r="K124" s="699" t="s">
        <v>402</v>
      </c>
      <c r="L124" s="682" t="s">
        <v>447</v>
      </c>
      <c r="M124" s="675" t="s">
        <v>221</v>
      </c>
      <c r="N124" s="701" t="s">
        <v>462</v>
      </c>
      <c r="O124" s="571" t="s">
        <v>428</v>
      </c>
      <c r="P124" s="571" t="s">
        <v>221</v>
      </c>
      <c r="Q124" s="571"/>
    </row>
    <row r="125">
      <c r="A125" s="678"/>
      <c r="B125" s="663" t="s">
        <v>1049</v>
      </c>
      <c r="C125" s="663" t="s">
        <v>1050</v>
      </c>
      <c r="D125" s="664" t="s">
        <v>1051</v>
      </c>
      <c r="E125" s="697">
        <v>43880.0</v>
      </c>
      <c r="F125" s="698" t="s">
        <v>1395</v>
      </c>
      <c r="G125" s="682" t="s">
        <v>1397</v>
      </c>
      <c r="H125" s="699" t="s">
        <v>1008</v>
      </c>
      <c r="I125" s="699" t="s">
        <v>996</v>
      </c>
      <c r="J125" s="663" t="s">
        <v>437</v>
      </c>
      <c r="K125" s="699" t="s">
        <v>402</v>
      </c>
      <c r="L125" s="682" t="s">
        <v>438</v>
      </c>
      <c r="M125" s="675" t="s">
        <v>221</v>
      </c>
      <c r="N125" s="701" t="s">
        <v>1399</v>
      </c>
      <c r="O125" s="571" t="s">
        <v>428</v>
      </c>
      <c r="P125" s="571" t="s">
        <v>221</v>
      </c>
      <c r="Q125" s="571"/>
    </row>
    <row r="126">
      <c r="A126" s="678"/>
      <c r="B126" s="663"/>
      <c r="C126" s="663"/>
      <c r="D126" s="664"/>
      <c r="E126" s="697">
        <v>43881.0</v>
      </c>
      <c r="F126" s="698" t="s">
        <v>1402</v>
      </c>
      <c r="G126" s="682" t="s">
        <v>1403</v>
      </c>
      <c r="H126" s="699" t="s">
        <v>431</v>
      </c>
      <c r="I126" s="699" t="s">
        <v>1404</v>
      </c>
      <c r="J126" s="663" t="s">
        <v>437</v>
      </c>
      <c r="K126" s="699" t="s">
        <v>402</v>
      </c>
      <c r="L126" s="682" t="s">
        <v>438</v>
      </c>
      <c r="M126" s="675" t="s">
        <v>221</v>
      </c>
      <c r="N126" s="701" t="s">
        <v>439</v>
      </c>
      <c r="O126" s="571" t="s">
        <v>428</v>
      </c>
      <c r="P126" s="571" t="s">
        <v>221</v>
      </c>
      <c r="Q126" s="571"/>
    </row>
    <row r="127">
      <c r="A127" s="678"/>
      <c r="B127" s="663"/>
      <c r="C127" s="663"/>
      <c r="D127" s="664"/>
      <c r="E127" s="697">
        <v>43882.0</v>
      </c>
      <c r="F127" s="698" t="s">
        <v>1406</v>
      </c>
      <c r="G127" s="682" t="s">
        <v>1408</v>
      </c>
      <c r="H127" s="699" t="s">
        <v>431</v>
      </c>
      <c r="I127" s="699" t="s">
        <v>1409</v>
      </c>
      <c r="J127" s="663" t="s">
        <v>437</v>
      </c>
      <c r="K127" s="699" t="s">
        <v>402</v>
      </c>
      <c r="L127" s="682" t="s">
        <v>438</v>
      </c>
      <c r="M127" s="675" t="s">
        <v>221</v>
      </c>
      <c r="N127" s="701" t="s">
        <v>439</v>
      </c>
      <c r="O127" s="571" t="s">
        <v>428</v>
      </c>
      <c r="P127" s="571" t="s">
        <v>221</v>
      </c>
      <c r="Q127" s="571"/>
    </row>
    <row r="128">
      <c r="A128" s="678"/>
      <c r="B128" s="663"/>
      <c r="C128" s="663"/>
      <c r="D128" s="664"/>
      <c r="E128" s="697">
        <v>43883.0</v>
      </c>
      <c r="F128" s="698" t="s">
        <v>1411</v>
      </c>
      <c r="G128" s="682" t="s">
        <v>1412</v>
      </c>
      <c r="H128" s="699" t="s">
        <v>1384</v>
      </c>
      <c r="I128" s="699" t="s">
        <v>1413</v>
      </c>
      <c r="J128" s="663" t="s">
        <v>52</v>
      </c>
      <c r="K128" s="699" t="s">
        <v>1386</v>
      </c>
      <c r="L128" s="682"/>
      <c r="M128" s="675" t="s">
        <v>280</v>
      </c>
      <c r="N128" s="701" t="s">
        <v>1414</v>
      </c>
      <c r="O128" s="571"/>
      <c r="P128" s="571"/>
      <c r="Q128" s="571"/>
    </row>
    <row r="129">
      <c r="A129" s="704">
        <v>43839.40587767361</v>
      </c>
      <c r="B129" s="663" t="s">
        <v>1415</v>
      </c>
      <c r="C129" s="663" t="s">
        <v>1416</v>
      </c>
      <c r="D129" s="664" t="s">
        <v>1417</v>
      </c>
      <c r="E129" s="697">
        <v>43885.0</v>
      </c>
      <c r="F129" s="698" t="s">
        <v>1418</v>
      </c>
      <c r="G129" s="682" t="s">
        <v>1419</v>
      </c>
      <c r="H129" s="699" t="s">
        <v>1420</v>
      </c>
      <c r="I129" s="699" t="s">
        <v>1421</v>
      </c>
      <c r="J129" s="663" t="s">
        <v>1002</v>
      </c>
      <c r="K129" s="699" t="s">
        <v>1422</v>
      </c>
      <c r="L129" s="682" t="s">
        <v>1423</v>
      </c>
      <c r="M129" s="675" t="s">
        <v>221</v>
      </c>
      <c r="N129" s="701" t="s">
        <v>1424</v>
      </c>
      <c r="O129" s="571" t="s">
        <v>428</v>
      </c>
      <c r="P129" s="571"/>
      <c r="Q129" s="571"/>
    </row>
    <row r="130">
      <c r="A130" s="678"/>
      <c r="B130" s="663"/>
      <c r="C130" s="663"/>
      <c r="D130" s="664"/>
      <c r="E130" s="697">
        <v>43887.0</v>
      </c>
      <c r="F130" s="698" t="s">
        <v>445</v>
      </c>
      <c r="G130" s="682" t="s">
        <v>983</v>
      </c>
      <c r="H130" s="699" t="s">
        <v>431</v>
      </c>
      <c r="I130" s="699" t="s">
        <v>867</v>
      </c>
      <c r="J130" s="663" t="s">
        <v>437</v>
      </c>
      <c r="K130" s="699" t="s">
        <v>402</v>
      </c>
      <c r="L130" s="682" t="s">
        <v>438</v>
      </c>
      <c r="M130" s="675" t="s">
        <v>221</v>
      </c>
      <c r="N130" s="701" t="s">
        <v>439</v>
      </c>
      <c r="O130" s="571" t="s">
        <v>428</v>
      </c>
      <c r="P130" s="571" t="s">
        <v>221</v>
      </c>
      <c r="Q130" s="571"/>
    </row>
    <row r="131">
      <c r="A131" s="678"/>
      <c r="B131" s="663"/>
      <c r="C131" s="663"/>
      <c r="D131" s="664"/>
      <c r="E131" s="697">
        <v>43887.0</v>
      </c>
      <c r="F131" s="698" t="s">
        <v>1377</v>
      </c>
      <c r="G131" s="682" t="s">
        <v>634</v>
      </c>
      <c r="H131" s="699" t="s">
        <v>431</v>
      </c>
      <c r="I131" s="699" t="s">
        <v>448</v>
      </c>
      <c r="J131" s="663" t="s">
        <v>116</v>
      </c>
      <c r="K131" s="699" t="s">
        <v>402</v>
      </c>
      <c r="L131" s="682" t="s">
        <v>447</v>
      </c>
      <c r="M131" s="675" t="s">
        <v>221</v>
      </c>
      <c r="N131" s="701" t="s">
        <v>462</v>
      </c>
      <c r="O131" s="571" t="s">
        <v>428</v>
      </c>
      <c r="P131" s="571" t="s">
        <v>221</v>
      </c>
      <c r="Q131" s="571"/>
    </row>
    <row r="132">
      <c r="A132" s="678"/>
      <c r="B132" s="663"/>
      <c r="C132" s="663"/>
      <c r="D132" s="664"/>
      <c r="E132" s="697">
        <v>43887.0</v>
      </c>
      <c r="F132" s="698" t="s">
        <v>419</v>
      </c>
      <c r="G132" s="682" t="s">
        <v>1426</v>
      </c>
      <c r="H132" s="699" t="s">
        <v>431</v>
      </c>
      <c r="I132" s="699" t="s">
        <v>448</v>
      </c>
      <c r="J132" s="663" t="s">
        <v>116</v>
      </c>
      <c r="K132" s="699" t="s">
        <v>402</v>
      </c>
      <c r="L132" s="682" t="s">
        <v>1427</v>
      </c>
      <c r="M132" s="675" t="s">
        <v>221</v>
      </c>
      <c r="N132" s="701" t="s">
        <v>421</v>
      </c>
      <c r="O132" s="571" t="s">
        <v>428</v>
      </c>
      <c r="P132" s="571" t="s">
        <v>221</v>
      </c>
      <c r="Q132" s="571"/>
    </row>
    <row r="133">
      <c r="A133" s="678"/>
      <c r="B133" s="663"/>
      <c r="C133" s="663"/>
      <c r="D133" s="664"/>
      <c r="E133" s="697">
        <v>43887.0</v>
      </c>
      <c r="F133" s="698" t="s">
        <v>1377</v>
      </c>
      <c r="G133" s="682" t="s">
        <v>634</v>
      </c>
      <c r="H133" s="699" t="s">
        <v>431</v>
      </c>
      <c r="I133" s="699" t="s">
        <v>448</v>
      </c>
      <c r="J133" s="663" t="s">
        <v>116</v>
      </c>
      <c r="K133" s="699" t="s">
        <v>402</v>
      </c>
      <c r="L133" s="682" t="s">
        <v>447</v>
      </c>
      <c r="M133" s="675" t="s">
        <v>221</v>
      </c>
      <c r="N133" s="701" t="s">
        <v>462</v>
      </c>
      <c r="O133" s="571" t="s">
        <v>428</v>
      </c>
      <c r="P133" s="571" t="s">
        <v>221</v>
      </c>
      <c r="Q133" s="571"/>
    </row>
    <row r="134">
      <c r="A134" s="678"/>
      <c r="B134" s="663"/>
      <c r="C134" s="663"/>
      <c r="D134" s="664"/>
      <c r="E134" s="697">
        <v>43889.0</v>
      </c>
      <c r="F134" s="698" t="s">
        <v>1375</v>
      </c>
      <c r="G134" s="682" t="s">
        <v>986</v>
      </c>
      <c r="H134" s="699" t="s">
        <v>1428</v>
      </c>
      <c r="I134" s="699" t="s">
        <v>1376</v>
      </c>
      <c r="J134" s="663" t="s">
        <v>437</v>
      </c>
      <c r="K134" s="699" t="s">
        <v>402</v>
      </c>
      <c r="L134" s="682" t="s">
        <v>438</v>
      </c>
      <c r="M134" s="675" t="s">
        <v>221</v>
      </c>
      <c r="N134" s="701" t="s">
        <v>439</v>
      </c>
      <c r="O134" s="571" t="s">
        <v>428</v>
      </c>
      <c r="P134" s="571" t="s">
        <v>221</v>
      </c>
      <c r="Q134" s="571"/>
    </row>
    <row r="135">
      <c r="A135" s="678"/>
      <c r="B135" s="663"/>
      <c r="C135" s="663"/>
      <c r="D135" s="664"/>
      <c r="E135" s="697">
        <v>43889.0</v>
      </c>
      <c r="F135" s="698" t="s">
        <v>414</v>
      </c>
      <c r="G135" s="682" t="s">
        <v>986</v>
      </c>
      <c r="H135" s="699" t="s">
        <v>431</v>
      </c>
      <c r="I135" s="699" t="s">
        <v>444</v>
      </c>
      <c r="J135" s="663" t="s">
        <v>116</v>
      </c>
      <c r="K135" s="699" t="s">
        <v>402</v>
      </c>
      <c r="L135" s="682" t="s">
        <v>987</v>
      </c>
      <c r="M135" s="675" t="s">
        <v>221</v>
      </c>
      <c r="N135" s="701" t="s">
        <v>405</v>
      </c>
      <c r="O135" s="571"/>
      <c r="P135" s="571" t="s">
        <v>221</v>
      </c>
      <c r="Q135" s="571"/>
    </row>
    <row r="136">
      <c r="A136" s="678"/>
      <c r="B136" s="663"/>
      <c r="C136" s="663"/>
      <c r="D136" s="664"/>
      <c r="E136" s="697">
        <v>43889.0</v>
      </c>
      <c r="F136" s="698" t="s">
        <v>1429</v>
      </c>
      <c r="G136" s="682" t="s">
        <v>986</v>
      </c>
      <c r="H136" s="699" t="s">
        <v>1430</v>
      </c>
      <c r="I136" s="699" t="s">
        <v>444</v>
      </c>
      <c r="J136" s="663" t="s">
        <v>116</v>
      </c>
      <c r="K136" s="699" t="s">
        <v>402</v>
      </c>
      <c r="L136" s="682" t="s">
        <v>987</v>
      </c>
      <c r="M136" s="675" t="s">
        <v>221</v>
      </c>
      <c r="N136" s="701" t="s">
        <v>405</v>
      </c>
      <c r="O136" s="571"/>
      <c r="P136" s="571" t="s">
        <v>221</v>
      </c>
      <c r="Q136" s="571"/>
    </row>
    <row r="137">
      <c r="A137" s="678"/>
      <c r="B137" s="663"/>
      <c r="C137" s="663"/>
      <c r="D137" s="664"/>
      <c r="E137" s="666">
        <v>43844.0</v>
      </c>
      <c r="F137" s="70" t="s">
        <v>1431</v>
      </c>
      <c r="G137" s="577" t="str">
        <f t="shared" ref="G137:G143" si="7">HYPERLINK("https://www.surveygizmo.com/s3/2325967/SPOC-PD-Registration","Register Here")</f>
        <v>Register Here</v>
      </c>
      <c r="H137" s="70" t="s">
        <v>254</v>
      </c>
      <c r="I137" s="70" t="s">
        <v>226</v>
      </c>
      <c r="J137" s="545" t="s">
        <v>116</v>
      </c>
      <c r="K137" s="70" t="s">
        <v>219</v>
      </c>
      <c r="L137" s="554" t="str">
        <f>HYPERLINK("https://nam01.safelinks.protection.outlook.com/ap/w-59584e83/?url=https%3A%2F%2Fnycdoe.sharepoint.com%2F%3Aw%3A%2Fr%2Fsites%2FDIITSPOCSharePoint%2FShared%2520Documents%2FSPOC%2520Meet-up%2FSPOC%2520Meet-up%2520JAMF.docx%3Fd%3Dwbe1b3f8f3f5049d4abf1fa5c4faa"&amp;"19be%26csf%3D1%26e%3DOeZSlr&amp;data=02%7C01%7CNSchepi%40schools.nyc.gov%7Cd7367ac6fc3f425fa11008d721adafa0%7C18492cb7ef45456185710c42e5f7ac07%7C0%7C0%7C637014902163885624&amp;sdata=PpHLV6m4w8jKQtaiXvECwrbSO273qFQT5x7ZvUplZdI%3D&amp;reserved=0","SPOC Meet-up JAMF")</f>
        <v>SPOC Meet-up JAMF</v>
      </c>
      <c r="M137" s="545" t="s">
        <v>221</v>
      </c>
      <c r="N137" s="70" t="s">
        <v>222</v>
      </c>
      <c r="O137" s="571"/>
      <c r="P137" s="571"/>
      <c r="Q137" s="571"/>
    </row>
    <row r="138">
      <c r="A138" s="678"/>
      <c r="B138" s="663"/>
      <c r="C138" s="663"/>
      <c r="D138" s="664"/>
      <c r="E138" s="666">
        <v>43853.0</v>
      </c>
      <c r="F138" s="70" t="s">
        <v>223</v>
      </c>
      <c r="G138" s="577" t="str">
        <f t="shared" si="7"/>
        <v>Register Here</v>
      </c>
      <c r="H138" s="70" t="s">
        <v>225</v>
      </c>
      <c r="I138" s="70" t="s">
        <v>226</v>
      </c>
      <c r="J138" s="545" t="s">
        <v>116</v>
      </c>
      <c r="K138" s="70" t="s">
        <v>219</v>
      </c>
      <c r="L138" s="554" t="str">
        <f>HYPERLINK("https://nycdoe.sharepoint.com/:w:/s/BKLYNTeamSharePoint/EURGvFlxPZtLjrxuedmj4TgBb0qu6YA5pGSm08OB5hEPvw?e=gUBeTg ","SPOC Meet-up")</f>
        <v>SPOC Meet-up</v>
      </c>
      <c r="M138" s="545" t="s">
        <v>221</v>
      </c>
      <c r="N138" s="70" t="s">
        <v>222</v>
      </c>
      <c r="O138" s="571"/>
      <c r="P138" s="571"/>
      <c r="Q138" s="571"/>
    </row>
    <row r="139">
      <c r="A139" s="678"/>
      <c r="B139" s="663"/>
      <c r="C139" s="663"/>
      <c r="D139" s="664"/>
      <c r="E139" s="666">
        <v>43854.0</v>
      </c>
      <c r="F139" s="70" t="s">
        <v>235</v>
      </c>
      <c r="G139" s="577" t="str">
        <f t="shared" si="7"/>
        <v>Register Here</v>
      </c>
      <c r="H139" s="70" t="s">
        <v>237</v>
      </c>
      <c r="I139" s="70" t="s">
        <v>226</v>
      </c>
      <c r="J139" s="545" t="s">
        <v>116</v>
      </c>
      <c r="K139" s="70" t="s">
        <v>219</v>
      </c>
      <c r="L139" s="554" t="str">
        <f>HYPERLINK("https://tinyurl.com/yxk6s285","SPOC Meet-up")</f>
        <v>SPOC Meet-up</v>
      </c>
      <c r="M139" s="545" t="s">
        <v>221</v>
      </c>
      <c r="N139" s="70" t="s">
        <v>238</v>
      </c>
      <c r="O139" s="571"/>
      <c r="P139" s="571"/>
      <c r="Q139" s="571"/>
    </row>
    <row r="140">
      <c r="A140" s="678"/>
      <c r="B140" s="663"/>
      <c r="C140" s="663"/>
      <c r="D140" s="664"/>
      <c r="E140" s="666">
        <v>43861.0</v>
      </c>
      <c r="F140" s="70" t="s">
        <v>1434</v>
      </c>
      <c r="G140" s="577" t="str">
        <f t="shared" si="7"/>
        <v>Register Here</v>
      </c>
      <c r="H140" s="70" t="s">
        <v>1435</v>
      </c>
      <c r="I140" s="70" t="s">
        <v>226</v>
      </c>
      <c r="J140" s="545" t="s">
        <v>116</v>
      </c>
      <c r="K140" s="70" t="s">
        <v>219</v>
      </c>
      <c r="L140" s="554" t="str">
        <f>HYPERLINK("https://nam01.safelinks.protection.outlook.com/ap/w-59584e83/?url=https%3A%2F%2Fnycdoe.sharepoint.com%2F%3Aw%3A%2Fs%2Fbronxtechnologyteam%2FESRLQ6uk7YJGmO2vWnWGa90BjNqndbFMJs2rhSkKBw61Uw%3Fe%3DaxhM0D&amp;data=02%7C01%7CNSchepi%40schools.nyc.gov%7C2d7e31e6211e"&amp;"4ef6d69408d74d99b692%7C18492cb7ef45456185710c42e5f7ac07%7C0%7C0%7C637063194891447904&amp;sdata=lROGucxNA0GWReYhZ8kvhkpwIeL%2FQ1wKp9yto%2BNRg7Y%3D&amp;reserved=0","SPOC Meet-up")</f>
        <v>SPOC Meet-up</v>
      </c>
      <c r="M140" s="545" t="s">
        <v>221</v>
      </c>
      <c r="N140" s="70" t="s">
        <v>222</v>
      </c>
      <c r="O140" s="571"/>
      <c r="P140" s="571"/>
      <c r="Q140" s="571"/>
    </row>
    <row r="141">
      <c r="A141" s="678"/>
      <c r="B141" s="663"/>
      <c r="C141" s="663"/>
      <c r="D141" s="664"/>
      <c r="E141" s="666">
        <v>43872.0</v>
      </c>
      <c r="F141" s="70" t="s">
        <v>241</v>
      </c>
      <c r="G141" s="577" t="str">
        <f t="shared" si="7"/>
        <v>Register Here</v>
      </c>
      <c r="H141" s="70" t="s">
        <v>254</v>
      </c>
      <c r="I141" s="70" t="s">
        <v>226</v>
      </c>
      <c r="J141" s="545" t="s">
        <v>116</v>
      </c>
      <c r="K141" s="70" t="s">
        <v>219</v>
      </c>
      <c r="L141" s="554" t="str">
        <f>HYPERLINK("https://nam01.safelinks.protection.outlook.com/ap/w-59584e83/?url=https%3A%2F%2Fnycdoe.sharepoint.com%2F%3Aw%3A%2Fr%2Fsites%2FDIITSPOCSharePoint%2FShared%2520Documents%2FSPOC%2520Meet-up%2FSPOC%2520Meet-up%2520Microsoft.docx%3Fd%3Dw364854477a2b40f3b01b25f"&amp;"8ffb679ce%26csf%3D1%26e%3DgpoGs5&amp;data=02%7C01%7CNSchepi%40schools.nyc.gov%7Cd7367ac6fc3f425fa11008d721adafa0%7C18492cb7ef45456185710c42e5f7ac07%7C0%7C0%7C637014902163890611&amp;sdata=PC8wmjJxa5wdWVMqUXeZCpRDc9Z2d1kQ%2FnNkuo8gp%2B0%3D&amp;reserved=0","SPOC Meet-up Office 365")</f>
        <v>SPOC Meet-up Office 365</v>
      </c>
      <c r="M141" s="545" t="s">
        <v>221</v>
      </c>
      <c r="N141" s="70" t="s">
        <v>222</v>
      </c>
      <c r="O141" s="571"/>
      <c r="P141" s="571"/>
      <c r="Q141" s="571"/>
    </row>
    <row r="142">
      <c r="A142" s="678"/>
      <c r="B142" s="663"/>
      <c r="C142" s="663"/>
      <c r="D142" s="664"/>
      <c r="E142" s="584">
        <v>43886.0</v>
      </c>
      <c r="F142" s="587" t="s">
        <v>1440</v>
      </c>
      <c r="G142" s="577" t="str">
        <f t="shared" si="7"/>
        <v>Register Here</v>
      </c>
      <c r="H142" s="587" t="s">
        <v>1442</v>
      </c>
      <c r="I142" s="587" t="s">
        <v>226</v>
      </c>
      <c r="J142" s="588" t="s">
        <v>116</v>
      </c>
      <c r="K142" s="587" t="s">
        <v>219</v>
      </c>
      <c r="L142" s="586" t="str">
        <f>HYPERLINK("https://nycdoe-my.sharepoint.com/:w:/g/personal/nschepi_schools_nyc_gov/EZD1RA9WxRxJj_lEx7Uh48YBDmsxy4bJ7hBgMHWE3dMkOw?e=yzLKdV","SPOC Meet-up")</f>
        <v>SPOC Meet-up</v>
      </c>
      <c r="M142" s="588" t="s">
        <v>221</v>
      </c>
      <c r="N142" s="587" t="s">
        <v>1030</v>
      </c>
      <c r="O142" s="571"/>
      <c r="P142" s="571"/>
      <c r="Q142" s="571"/>
    </row>
    <row r="143">
      <c r="A143" s="678"/>
      <c r="B143" s="663"/>
      <c r="C143" s="663"/>
      <c r="D143" s="664"/>
      <c r="E143" s="666">
        <v>43888.0</v>
      </c>
      <c r="F143" s="70" t="s">
        <v>223</v>
      </c>
      <c r="G143" s="577" t="str">
        <f t="shared" si="7"/>
        <v>Register Here</v>
      </c>
      <c r="H143" s="70" t="s">
        <v>249</v>
      </c>
      <c r="I143" s="70" t="s">
        <v>226</v>
      </c>
      <c r="J143" s="545" t="s">
        <v>116</v>
      </c>
      <c r="K143" s="70" t="s">
        <v>219</v>
      </c>
      <c r="L143" s="554" t="str">
        <f>HYPERLINK("https://nycdoe.sharepoint.com/:w:/s/BKLYNTeamSharePoint/EURGvFlxPZtLjrxuedmj4TgBb0qu6YA5pGSm08OB5hEPvw?e=gUBeTg ","SPOC Meet-up")</f>
        <v>SPOC Meet-up</v>
      </c>
      <c r="M143" s="545" t="s">
        <v>221</v>
      </c>
      <c r="N143" s="70" t="s">
        <v>222</v>
      </c>
      <c r="O143" s="571"/>
      <c r="P143" s="571"/>
      <c r="Q143" s="571"/>
    </row>
    <row r="144">
      <c r="A144" s="214"/>
      <c r="B144" s="215" t="s">
        <v>503</v>
      </c>
      <c r="C144" s="215" t="s">
        <v>504</v>
      </c>
      <c r="D144" s="216" t="s">
        <v>505</v>
      </c>
      <c r="E144" s="217">
        <v>43860.0</v>
      </c>
      <c r="F144" s="589" t="s">
        <v>1446</v>
      </c>
      <c r="G144" s="708" t="str">
        <f>HYPERLINK("https://docs.google.com/forms/d/e/1FAIpQLSc-ipQeGqR8W8sBPX1uhiQE6sBimo8fd-wQg5P9LsG4Tie0nQ/viewform","Register Here")</f>
        <v>Register Here</v>
      </c>
      <c r="H144" s="565" t="s">
        <v>508</v>
      </c>
      <c r="I144" s="220" t="s">
        <v>509</v>
      </c>
      <c r="J144" s="215" t="s">
        <v>49</v>
      </c>
      <c r="K144" s="220" t="s">
        <v>494</v>
      </c>
      <c r="L144" s="228" t="str">
        <f>HYPERLINK("https://docs.google.com/document/d/1PK1CopTJ9X1RjfQP-dfu4OqaMbAGx1IOLMs4rnPLngM/edit#heading=h.c9r63tridy78","GEG AGENDA")</f>
        <v>GEG AGENDA</v>
      </c>
      <c r="M144" s="230" t="s">
        <v>221</v>
      </c>
      <c r="N144" s="218" t="s">
        <v>510</v>
      </c>
      <c r="O144" s="223" t="s">
        <v>511</v>
      </c>
      <c r="P144" s="709"/>
      <c r="Q144" s="709"/>
    </row>
    <row r="145">
      <c r="A145" s="214"/>
      <c r="B145" s="215"/>
      <c r="C145" s="215"/>
      <c r="D145" s="216"/>
      <c r="E145" s="217">
        <v>43872.0</v>
      </c>
      <c r="F145" s="589" t="s">
        <v>1450</v>
      </c>
      <c r="G145" s="708" t="str">
        <f t="shared" ref="G145:G148" si="8">HYPERLINK("https://docs.google.com/forms/d/e/1FAIpQLSfICp8A_tYCU_zkf4-2gdaOcw5ui_2v6cFsNZRJnDa0NjYePQ/viewform","Register Here")</f>
        <v>Register Here</v>
      </c>
      <c r="H145" s="710" t="s">
        <v>1451</v>
      </c>
      <c r="I145" s="220" t="s">
        <v>1452</v>
      </c>
      <c r="J145" s="232" t="s">
        <v>1453</v>
      </c>
      <c r="K145" s="220" t="s">
        <v>494</v>
      </c>
      <c r="L145" s="711" t="s">
        <v>491</v>
      </c>
      <c r="M145" s="230" t="s">
        <v>280</v>
      </c>
      <c r="N145" s="218"/>
      <c r="O145" s="223"/>
      <c r="P145" s="709"/>
      <c r="Q145" s="709"/>
    </row>
    <row r="146">
      <c r="A146" s="214"/>
      <c r="B146" s="215"/>
      <c r="C146" s="215"/>
      <c r="D146" s="216"/>
      <c r="E146" s="217">
        <v>43873.0</v>
      </c>
      <c r="F146" s="589" t="s">
        <v>1454</v>
      </c>
      <c r="G146" s="708" t="str">
        <f t="shared" si="8"/>
        <v>Register Here</v>
      </c>
      <c r="H146" s="710" t="s">
        <v>1455</v>
      </c>
      <c r="I146" s="220" t="s">
        <v>1456</v>
      </c>
      <c r="J146" s="232" t="s">
        <v>1453</v>
      </c>
      <c r="K146" s="220" t="s">
        <v>494</v>
      </c>
      <c r="L146" s="711" t="s">
        <v>491</v>
      </c>
      <c r="M146" s="230" t="s">
        <v>280</v>
      </c>
      <c r="N146" s="218"/>
      <c r="O146" s="223"/>
      <c r="P146" s="709"/>
      <c r="Q146" s="709"/>
    </row>
    <row r="147">
      <c r="A147" s="214"/>
      <c r="B147" s="215"/>
      <c r="C147" s="215"/>
      <c r="D147" s="216"/>
      <c r="E147" s="217">
        <v>43873.0</v>
      </c>
      <c r="F147" s="589" t="s">
        <v>1457</v>
      </c>
      <c r="G147" s="708" t="str">
        <f t="shared" si="8"/>
        <v>Register Here</v>
      </c>
      <c r="H147" s="710" t="s">
        <v>1459</v>
      </c>
      <c r="I147" s="220" t="s">
        <v>1460</v>
      </c>
      <c r="J147" s="232" t="s">
        <v>1453</v>
      </c>
      <c r="K147" s="220" t="s">
        <v>494</v>
      </c>
      <c r="L147" s="711" t="s">
        <v>491</v>
      </c>
      <c r="M147" s="230" t="s">
        <v>280</v>
      </c>
      <c r="N147" s="218"/>
      <c r="O147" s="223"/>
      <c r="P147" s="709"/>
      <c r="Q147" s="709"/>
    </row>
    <row r="148">
      <c r="A148" s="214"/>
      <c r="B148" s="215"/>
      <c r="C148" s="215"/>
      <c r="D148" s="216"/>
      <c r="E148" s="217">
        <v>43875.0</v>
      </c>
      <c r="F148" s="712" t="s">
        <v>1461</v>
      </c>
      <c r="G148" s="708" t="str">
        <f t="shared" si="8"/>
        <v>Register Here</v>
      </c>
      <c r="H148" s="710" t="s">
        <v>1462</v>
      </c>
      <c r="I148" s="220" t="s">
        <v>1456</v>
      </c>
      <c r="J148" s="232" t="s">
        <v>1453</v>
      </c>
      <c r="K148" s="220" t="s">
        <v>494</v>
      </c>
      <c r="L148" s="711" t="s">
        <v>491</v>
      </c>
      <c r="M148" s="230" t="s">
        <v>280</v>
      </c>
      <c r="N148" s="218"/>
      <c r="O148" s="223"/>
      <c r="P148" s="709"/>
      <c r="Q148" s="709"/>
    </row>
    <row r="149">
      <c r="A149" s="214"/>
      <c r="B149" s="215" t="s">
        <v>466</v>
      </c>
      <c r="C149" s="215" t="s">
        <v>467</v>
      </c>
      <c r="D149" s="216" t="s">
        <v>468</v>
      </c>
      <c r="E149" s="217">
        <v>43873.0</v>
      </c>
      <c r="F149" s="565" t="s">
        <v>1463</v>
      </c>
      <c r="G149" s="226" t="s">
        <v>514</v>
      </c>
      <c r="H149" s="565" t="s">
        <v>470</v>
      </c>
      <c r="I149" s="220" t="s">
        <v>471</v>
      </c>
      <c r="J149" s="215" t="s">
        <v>472</v>
      </c>
      <c r="K149" s="220" t="s">
        <v>494</v>
      </c>
      <c r="L149" s="229" t="s">
        <v>1463</v>
      </c>
      <c r="M149" s="230" t="s">
        <v>280</v>
      </c>
      <c r="N149" s="218" t="s">
        <v>1464</v>
      </c>
      <c r="O149" s="223" t="s">
        <v>1465</v>
      </c>
      <c r="P149" s="709"/>
      <c r="Q149" s="709"/>
    </row>
    <row r="150">
      <c r="A150" s="214"/>
      <c r="B150" s="215"/>
      <c r="C150" s="215"/>
      <c r="D150" s="216"/>
      <c r="E150" s="217">
        <v>43873.0</v>
      </c>
      <c r="F150" s="565" t="s">
        <v>1466</v>
      </c>
      <c r="G150" s="713" t="str">
        <f>HYPERLINK("https://forms.gle/ZW6YE4ZzDwDmw6Qq9","Register here")</f>
        <v>Register here</v>
      </c>
      <c r="H150" s="565" t="s">
        <v>470</v>
      </c>
      <c r="I150" s="220" t="s">
        <v>1469</v>
      </c>
      <c r="J150" s="215" t="s">
        <v>472</v>
      </c>
      <c r="K150" s="220" t="s">
        <v>1312</v>
      </c>
      <c r="L150" s="228" t="str">
        <f>HYPERLINK("https://docs.google.com/document/d/12bAiPv69qs5gYA5iMvEUwmFo6GlyxIJdVFpF5oVk0rA/edit?usp=sharing","After Hours Agenda")</f>
        <v>After Hours Agenda</v>
      </c>
      <c r="M150" s="230" t="s">
        <v>221</v>
      </c>
      <c r="N150" s="218"/>
      <c r="O150" s="223" t="s">
        <v>1470</v>
      </c>
      <c r="P150" s="709"/>
      <c r="Q150" s="709"/>
    </row>
    <row r="151">
      <c r="A151" s="214"/>
      <c r="B151" s="215" t="s">
        <v>466</v>
      </c>
      <c r="C151" s="215" t="s">
        <v>467</v>
      </c>
      <c r="D151" s="216" t="s">
        <v>468</v>
      </c>
      <c r="E151" s="223" t="s">
        <v>1471</v>
      </c>
      <c r="F151" s="589" t="s">
        <v>497</v>
      </c>
      <c r="G151" s="714" t="str">
        <f>HYPERLINK("http://s.apple.com/dE0h5r0o6t","Register here")</f>
        <v>Register here</v>
      </c>
      <c r="H151" s="715" t="s">
        <v>1472</v>
      </c>
      <c r="I151" s="220" t="s">
        <v>1473</v>
      </c>
      <c r="J151" s="220" t="s">
        <v>536</v>
      </c>
      <c r="K151" s="220" t="s">
        <v>1024</v>
      </c>
      <c r="L151" s="716" t="str">
        <f>HYPERLINK("http://s.apple.com/dE0h5r0o6t","SPOC Mobile Device Management Workshop")</f>
        <v>SPOC Mobile Device Management Workshop</v>
      </c>
      <c r="M151" s="230" t="s">
        <v>280</v>
      </c>
      <c r="N151" s="218" t="s">
        <v>1474</v>
      </c>
      <c r="O151" s="223"/>
      <c r="P151" s="709"/>
      <c r="Q151" s="709"/>
    </row>
    <row r="152">
      <c r="A152" s="214"/>
      <c r="B152" s="215"/>
      <c r="C152" s="215"/>
      <c r="D152" s="216"/>
      <c r="E152" s="217">
        <v>43886.0</v>
      </c>
      <c r="F152" s="589" t="s">
        <v>1305</v>
      </c>
      <c r="G152" s="714" t="str">
        <f>HYPERLINK("https://forms.office.com/Pages/ResponsePage.aspx?id=tyxJGEXvYUWFcQxC5fesB5seDeFkrMRGoPlZ4YYDsqNUMUwxSU04NFNCNE41TkIwR0RFVktUWDNWRyQlQCN0PWcu","Register here")</f>
        <v>Register here</v>
      </c>
      <c r="H152" s="715" t="s">
        <v>1308</v>
      </c>
      <c r="I152" s="220" t="s">
        <v>1311</v>
      </c>
      <c r="J152" s="220" t="s">
        <v>52</v>
      </c>
      <c r="K152" s="220" t="s">
        <v>1312</v>
      </c>
      <c r="L152" s="717" t="s">
        <v>426</v>
      </c>
      <c r="M152" s="230" t="s">
        <v>221</v>
      </c>
      <c r="N152" s="218" t="s">
        <v>1476</v>
      </c>
      <c r="O152" s="223"/>
      <c r="P152" s="709"/>
      <c r="Q152" s="709"/>
    </row>
    <row r="153">
      <c r="A153" s="214"/>
      <c r="B153" s="215" t="s">
        <v>503</v>
      </c>
      <c r="C153" s="215" t="s">
        <v>504</v>
      </c>
      <c r="D153" s="216" t="s">
        <v>505</v>
      </c>
      <c r="E153" s="217">
        <v>43888.0</v>
      </c>
      <c r="F153" s="589" t="s">
        <v>1477</v>
      </c>
      <c r="G153" s="708" t="str">
        <f>HYPERLINK("https://docs.google.com/forms/d/e/1FAIpQLSc-ipQeGqR8W8sBPX1uhiQE6sBimo8fd-wQg5P9LsG4Tie0nQ/viewform","Register Here")</f>
        <v>Register Here</v>
      </c>
      <c r="H153" s="565" t="s">
        <v>508</v>
      </c>
      <c r="I153" s="220" t="s">
        <v>509</v>
      </c>
      <c r="J153" s="215" t="s">
        <v>49</v>
      </c>
      <c r="K153" s="220" t="s">
        <v>494</v>
      </c>
      <c r="L153" s="228" t="str">
        <f>HYPERLINK("https://docs.google.com/document/d/1PK1CopTJ9X1RjfQP-dfu4OqaMbAGx1IOLMs4rnPLngM/edit#heading=h.c9r63tridy78","GEG AGENDA")</f>
        <v>GEG AGENDA</v>
      </c>
      <c r="M153" s="230" t="s">
        <v>221</v>
      </c>
      <c r="N153" s="218" t="s">
        <v>510</v>
      </c>
      <c r="O153" s="223" t="s">
        <v>511</v>
      </c>
      <c r="P153" s="709"/>
      <c r="Q153" s="709"/>
    </row>
    <row r="154">
      <c r="A154" s="231"/>
      <c r="B154" s="232" t="s">
        <v>466</v>
      </c>
      <c r="C154" s="232" t="s">
        <v>467</v>
      </c>
      <c r="D154" s="233" t="s">
        <v>468</v>
      </c>
      <c r="E154" s="718">
        <v>43889.0</v>
      </c>
      <c r="F154" s="719" t="s">
        <v>497</v>
      </c>
      <c r="G154" s="243" t="str">
        <f>HYPERLINK("https://events.apple.com/content/events/us_education/us/en/spoc-summer-workshop---land.html?token=6T0btCn7EY6KmKxo8NDNIu7NvEKj_6l76FYJekwWFYQuTwldPOCmIPliBjiMlYQETd1bjYn5JG5EbPE64BFNV9bBjTwLkgE8M7O4xk_k4TLjexbSH32TIQkQ-QyPs1xz&amp;a=1&amp;l=e","Date changed to 2/24")</f>
        <v>Date changed to 2/24</v>
      </c>
      <c r="H154" s="719" t="s">
        <v>470</v>
      </c>
      <c r="I154" s="719" t="s">
        <v>498</v>
      </c>
      <c r="J154" s="719" t="s">
        <v>472</v>
      </c>
      <c r="K154" s="719" t="s">
        <v>1024</v>
      </c>
      <c r="L154" s="720" t="s">
        <v>497</v>
      </c>
      <c r="M154" s="265" t="s">
        <v>280</v>
      </c>
      <c r="N154" s="721" t="s">
        <v>501</v>
      </c>
      <c r="O154" s="722" t="s">
        <v>502</v>
      </c>
      <c r="P154" s="709"/>
      <c r="Q154" s="709"/>
    </row>
    <row r="155">
      <c r="A155" s="678"/>
      <c r="B155" s="663"/>
      <c r="C155" s="663"/>
      <c r="D155" s="664"/>
      <c r="E155" s="666">
        <v>43896.0</v>
      </c>
      <c r="F155" s="70" t="s">
        <v>235</v>
      </c>
      <c r="G155" s="577" t="str">
        <f t="shared" ref="G155:G157" si="9">HYPERLINK("https://www.surveygizmo.com/s3/2325967/SPOC-PD-Registration","Register Here")</f>
        <v>Register Here</v>
      </c>
      <c r="H155" s="70" t="s">
        <v>237</v>
      </c>
      <c r="I155" s="70" t="s">
        <v>226</v>
      </c>
      <c r="J155" s="545" t="s">
        <v>116</v>
      </c>
      <c r="K155" s="70" t="s">
        <v>219</v>
      </c>
      <c r="L155" s="554" t="str">
        <f>HYPERLINK("https://drive.google.com/open?id=16rMmVYxkbDNBGVYNyzpHCx-A-n4TUprP","SPOC Meet-up")</f>
        <v>SPOC Meet-up</v>
      </c>
      <c r="M155" s="545" t="s">
        <v>221</v>
      </c>
      <c r="N155" s="70" t="s">
        <v>238</v>
      </c>
      <c r="O155" s="223" t="s">
        <v>211</v>
      </c>
      <c r="P155" s="571"/>
      <c r="Q155" s="571"/>
    </row>
    <row r="156">
      <c r="A156" s="678"/>
      <c r="B156" s="663"/>
      <c r="C156" s="663"/>
      <c r="D156" s="664"/>
      <c r="E156" s="666">
        <v>43900.0</v>
      </c>
      <c r="F156" s="70" t="s">
        <v>1431</v>
      </c>
      <c r="G156" s="577" t="str">
        <f t="shared" si="9"/>
        <v>Register Here</v>
      </c>
      <c r="H156" s="70" t="s">
        <v>254</v>
      </c>
      <c r="I156" s="70" t="s">
        <v>226</v>
      </c>
      <c r="J156" s="545" t="s">
        <v>116</v>
      </c>
      <c r="K156" s="70" t="s">
        <v>219</v>
      </c>
      <c r="L156" s="572" t="s">
        <v>1500</v>
      </c>
      <c r="M156" s="545" t="s">
        <v>221</v>
      </c>
      <c r="N156" s="70" t="s">
        <v>222</v>
      </c>
      <c r="O156" s="223" t="s">
        <v>211</v>
      </c>
      <c r="P156" s="571"/>
      <c r="Q156" s="571"/>
    </row>
    <row r="157">
      <c r="A157" s="678"/>
      <c r="B157" s="663"/>
      <c r="C157" s="663"/>
      <c r="D157" s="664"/>
      <c r="E157" s="584">
        <v>43901.0</v>
      </c>
      <c r="F157" s="587" t="s">
        <v>1501</v>
      </c>
      <c r="G157" s="577" t="str">
        <f t="shared" si="9"/>
        <v>Register Here</v>
      </c>
      <c r="H157" s="587" t="s">
        <v>1502</v>
      </c>
      <c r="I157" s="587" t="s">
        <v>226</v>
      </c>
      <c r="J157" s="588" t="s">
        <v>116</v>
      </c>
      <c r="K157" s="587" t="s">
        <v>219</v>
      </c>
      <c r="L157" s="586" t="str">
        <f>HYPERLINK("https://nycdoe-my.sharepoint.com/:w:/g/personal/nschepi_schools_nyc_gov/EZD1RA9WxRxJj_lEx7Uh48YBDmsxy4bJ7hBgMHWE3dMkOw?e=yzLKdV","SPOC Meet-up")</f>
        <v>SPOC Meet-up</v>
      </c>
      <c r="M157" s="588" t="s">
        <v>221</v>
      </c>
      <c r="N157" s="587" t="s">
        <v>1030</v>
      </c>
      <c r="O157" s="223"/>
      <c r="P157" s="571"/>
      <c r="Q157" s="571"/>
    </row>
    <row r="158">
      <c r="A158" s="678"/>
      <c r="B158" s="663"/>
      <c r="C158" s="663"/>
      <c r="D158" s="664"/>
      <c r="E158" s="697">
        <v>43903.0</v>
      </c>
      <c r="F158" s="698" t="s">
        <v>1503</v>
      </c>
      <c r="G158" s="682" t="s">
        <v>1504</v>
      </c>
      <c r="H158" s="699" t="s">
        <v>431</v>
      </c>
      <c r="I158" s="699" t="s">
        <v>976</v>
      </c>
      <c r="J158" s="663" t="s">
        <v>116</v>
      </c>
      <c r="K158" s="699" t="s">
        <v>278</v>
      </c>
      <c r="L158" s="682" t="s">
        <v>1505</v>
      </c>
      <c r="M158" s="675" t="s">
        <v>221</v>
      </c>
      <c r="N158" s="701" t="s">
        <v>439</v>
      </c>
      <c r="O158" s="571" t="s">
        <v>428</v>
      </c>
      <c r="P158" s="571" t="s">
        <v>221</v>
      </c>
      <c r="Q158" s="571"/>
    </row>
    <row r="159">
      <c r="A159" s="678"/>
      <c r="B159" s="663"/>
      <c r="C159" s="663"/>
      <c r="D159" s="664"/>
      <c r="E159" s="697">
        <v>43903.0</v>
      </c>
      <c r="F159" s="698" t="s">
        <v>447</v>
      </c>
      <c r="G159" s="682" t="s">
        <v>1507</v>
      </c>
      <c r="H159" s="699" t="s">
        <v>431</v>
      </c>
      <c r="I159" s="699" t="s">
        <v>444</v>
      </c>
      <c r="J159" s="663" t="s">
        <v>116</v>
      </c>
      <c r="K159" s="699" t="s">
        <v>402</v>
      </c>
      <c r="L159" s="682" t="s">
        <v>447</v>
      </c>
      <c r="M159" s="675" t="s">
        <v>221</v>
      </c>
      <c r="N159" s="701" t="s">
        <v>462</v>
      </c>
      <c r="O159" s="571" t="s">
        <v>428</v>
      </c>
      <c r="P159" s="571" t="s">
        <v>221</v>
      </c>
      <c r="Q159" s="571"/>
    </row>
    <row r="160">
      <c r="A160" s="678"/>
      <c r="B160" s="663"/>
      <c r="C160" s="663"/>
      <c r="D160" s="664"/>
      <c r="E160" s="697">
        <v>43903.0</v>
      </c>
      <c r="F160" s="698" t="s">
        <v>447</v>
      </c>
      <c r="G160" s="682" t="s">
        <v>1507</v>
      </c>
      <c r="H160" s="699" t="s">
        <v>431</v>
      </c>
      <c r="I160" s="699" t="s">
        <v>444</v>
      </c>
      <c r="J160" s="663" t="s">
        <v>116</v>
      </c>
      <c r="K160" s="699" t="s">
        <v>402</v>
      </c>
      <c r="L160" s="682" t="s">
        <v>447</v>
      </c>
      <c r="M160" s="675" t="s">
        <v>221</v>
      </c>
      <c r="N160" s="701" t="s">
        <v>462</v>
      </c>
      <c r="O160" s="571" t="s">
        <v>428</v>
      </c>
      <c r="P160" s="571" t="s">
        <v>221</v>
      </c>
      <c r="Q160" s="571"/>
    </row>
    <row r="161">
      <c r="A161" s="678"/>
      <c r="B161" s="663"/>
      <c r="C161" s="663"/>
      <c r="D161" s="664"/>
      <c r="E161" s="697">
        <v>43908.0</v>
      </c>
      <c r="F161" s="698" t="s">
        <v>1506</v>
      </c>
      <c r="G161" s="682" t="s">
        <v>224</v>
      </c>
      <c r="H161" s="699" t="s">
        <v>446</v>
      </c>
      <c r="I161" s="699" t="s">
        <v>1510</v>
      </c>
      <c r="J161" s="663" t="s">
        <v>1508</v>
      </c>
      <c r="K161" s="699" t="s">
        <v>402</v>
      </c>
      <c r="L161" s="682"/>
      <c r="M161" s="675" t="s">
        <v>221</v>
      </c>
      <c r="N161" s="701" t="s">
        <v>1509</v>
      </c>
      <c r="O161" s="571" t="s">
        <v>428</v>
      </c>
      <c r="P161" s="571" t="s">
        <v>221</v>
      </c>
      <c r="Q161" s="571"/>
    </row>
    <row r="162">
      <c r="A162" s="678"/>
      <c r="B162" s="663"/>
      <c r="C162" s="663"/>
      <c r="D162" s="664"/>
      <c r="E162" s="697">
        <v>43908.0</v>
      </c>
      <c r="F162" s="698" t="s">
        <v>1511</v>
      </c>
      <c r="G162" s="682" t="s">
        <v>224</v>
      </c>
      <c r="H162" s="699" t="s">
        <v>446</v>
      </c>
      <c r="I162" s="699" t="s">
        <v>448</v>
      </c>
      <c r="J162" s="663" t="s">
        <v>1508</v>
      </c>
      <c r="K162" s="699" t="s">
        <v>402</v>
      </c>
      <c r="L162" s="682"/>
      <c r="M162" s="675" t="s">
        <v>221</v>
      </c>
      <c r="N162" s="701" t="s">
        <v>1512</v>
      </c>
      <c r="O162" s="571" t="s">
        <v>428</v>
      </c>
      <c r="P162" s="571" t="s">
        <v>221</v>
      </c>
      <c r="Q162" s="571"/>
    </row>
    <row r="163">
      <c r="A163" s="678"/>
      <c r="B163" s="663"/>
      <c r="C163" s="663"/>
      <c r="D163" s="664"/>
      <c r="E163" s="697">
        <v>43908.0</v>
      </c>
      <c r="F163" s="698" t="s">
        <v>1511</v>
      </c>
      <c r="G163" s="682" t="s">
        <v>224</v>
      </c>
      <c r="H163" s="699" t="s">
        <v>446</v>
      </c>
      <c r="I163" s="699" t="s">
        <v>448</v>
      </c>
      <c r="J163" s="663" t="s">
        <v>1508</v>
      </c>
      <c r="K163" s="699" t="s">
        <v>402</v>
      </c>
      <c r="L163" s="682"/>
      <c r="M163" s="675" t="s">
        <v>221</v>
      </c>
      <c r="N163" s="701" t="s">
        <v>1512</v>
      </c>
      <c r="O163" s="571" t="s">
        <v>428</v>
      </c>
      <c r="P163" s="571" t="s">
        <v>221</v>
      </c>
      <c r="Q163" s="571"/>
    </row>
    <row r="164">
      <c r="A164" s="678"/>
      <c r="B164" s="663"/>
      <c r="C164" s="663"/>
      <c r="D164" s="664"/>
      <c r="E164" s="697">
        <v>43909.0</v>
      </c>
      <c r="F164" s="698" t="s">
        <v>1515</v>
      </c>
      <c r="G164" s="682" t="s">
        <v>224</v>
      </c>
      <c r="H164" s="699" t="s">
        <v>431</v>
      </c>
      <c r="I164" s="699" t="s">
        <v>444</v>
      </c>
      <c r="J164" s="663" t="s">
        <v>437</v>
      </c>
      <c r="K164" s="699" t="s">
        <v>402</v>
      </c>
      <c r="L164" s="682" t="s">
        <v>1516</v>
      </c>
      <c r="M164" s="675" t="s">
        <v>221</v>
      </c>
      <c r="N164" s="701" t="s">
        <v>1517</v>
      </c>
      <c r="O164" s="571" t="s">
        <v>428</v>
      </c>
      <c r="P164" s="571" t="s">
        <v>221</v>
      </c>
      <c r="Q164" s="571"/>
    </row>
    <row r="165">
      <c r="A165" s="678"/>
      <c r="B165" s="663"/>
      <c r="C165" s="663"/>
      <c r="D165" s="664"/>
      <c r="E165" s="697">
        <v>43909.0</v>
      </c>
      <c r="F165" s="698" t="s">
        <v>1515</v>
      </c>
      <c r="G165" s="682" t="s">
        <v>224</v>
      </c>
      <c r="H165" s="699" t="s">
        <v>431</v>
      </c>
      <c r="I165" s="699" t="s">
        <v>444</v>
      </c>
      <c r="J165" s="663" t="s">
        <v>437</v>
      </c>
      <c r="K165" s="699" t="s">
        <v>402</v>
      </c>
      <c r="L165" s="682" t="s">
        <v>1516</v>
      </c>
      <c r="M165" s="675" t="s">
        <v>221</v>
      </c>
      <c r="N165" s="701" t="s">
        <v>1517</v>
      </c>
      <c r="O165" s="571" t="s">
        <v>428</v>
      </c>
      <c r="P165" s="571" t="s">
        <v>221</v>
      </c>
      <c r="Q165" s="571"/>
    </row>
    <row r="166">
      <c r="A166" s="678"/>
      <c r="B166" s="663"/>
      <c r="C166" s="663"/>
      <c r="D166" s="664"/>
      <c r="E166" s="697">
        <v>43910.0</v>
      </c>
      <c r="F166" s="698" t="s">
        <v>1511</v>
      </c>
      <c r="G166" s="682" t="s">
        <v>224</v>
      </c>
      <c r="H166" s="699" t="s">
        <v>1211</v>
      </c>
      <c r="I166" s="699" t="s">
        <v>448</v>
      </c>
      <c r="J166" s="663" t="s">
        <v>1508</v>
      </c>
      <c r="K166" s="699" t="s">
        <v>402</v>
      </c>
      <c r="L166" s="682"/>
      <c r="M166" s="675" t="s">
        <v>221</v>
      </c>
      <c r="N166" s="701" t="s">
        <v>1512</v>
      </c>
      <c r="O166" s="571" t="s">
        <v>428</v>
      </c>
      <c r="P166" s="571" t="s">
        <v>221</v>
      </c>
      <c r="Q166" s="571"/>
    </row>
    <row r="167">
      <c r="A167" s="678"/>
      <c r="B167" s="663"/>
      <c r="C167" s="663"/>
      <c r="D167" s="664"/>
      <c r="E167" s="697">
        <v>43910.0</v>
      </c>
      <c r="F167" s="698" t="s">
        <v>1511</v>
      </c>
      <c r="G167" s="682" t="s">
        <v>224</v>
      </c>
      <c r="H167" s="699" t="s">
        <v>1211</v>
      </c>
      <c r="I167" s="699" t="s">
        <v>448</v>
      </c>
      <c r="J167" s="663" t="s">
        <v>1508</v>
      </c>
      <c r="K167" s="699" t="s">
        <v>402</v>
      </c>
      <c r="L167" s="682"/>
      <c r="M167" s="675" t="s">
        <v>221</v>
      </c>
      <c r="N167" s="701" t="s">
        <v>1512</v>
      </c>
      <c r="O167" s="571" t="s">
        <v>428</v>
      </c>
      <c r="P167" s="571" t="s">
        <v>221</v>
      </c>
      <c r="Q167" s="571"/>
    </row>
    <row r="168">
      <c r="A168" s="678"/>
      <c r="B168" s="663"/>
      <c r="C168" s="663"/>
      <c r="D168" s="664"/>
      <c r="E168" s="697">
        <v>43915.0</v>
      </c>
      <c r="F168" s="698" t="s">
        <v>398</v>
      </c>
      <c r="G168" s="682" t="s">
        <v>224</v>
      </c>
      <c r="H168" s="699" t="s">
        <v>1519</v>
      </c>
      <c r="I168" s="699" t="s">
        <v>996</v>
      </c>
      <c r="J168" s="663" t="s">
        <v>401</v>
      </c>
      <c r="K168" s="699" t="s">
        <v>402</v>
      </c>
      <c r="L168" s="682" t="s">
        <v>1329</v>
      </c>
      <c r="M168" s="675" t="s">
        <v>221</v>
      </c>
      <c r="N168" s="701" t="s">
        <v>405</v>
      </c>
      <c r="O168" s="571"/>
      <c r="P168" s="571"/>
      <c r="Q168" s="571"/>
    </row>
    <row r="169">
      <c r="A169" s="678"/>
      <c r="B169" s="663"/>
      <c r="C169" s="663"/>
      <c r="D169" s="664"/>
      <c r="E169" s="697">
        <v>43916.0</v>
      </c>
      <c r="F169" s="698" t="s">
        <v>994</v>
      </c>
      <c r="G169" s="682" t="s">
        <v>224</v>
      </c>
      <c r="H169" s="699" t="s">
        <v>399</v>
      </c>
      <c r="I169" s="699" t="s">
        <v>409</v>
      </c>
      <c r="J169" s="663" t="s">
        <v>401</v>
      </c>
      <c r="K169" s="699" t="s">
        <v>402</v>
      </c>
      <c r="L169" s="682" t="s">
        <v>438</v>
      </c>
      <c r="M169" s="675" t="s">
        <v>221</v>
      </c>
      <c r="N169" s="701" t="s">
        <v>410</v>
      </c>
      <c r="O169" s="571"/>
      <c r="P169" s="571"/>
      <c r="Q169" s="571"/>
    </row>
    <row r="170">
      <c r="A170" s="678"/>
      <c r="B170" s="663"/>
      <c r="C170" s="663"/>
      <c r="D170" s="664"/>
      <c r="E170" s="697">
        <v>43916.0</v>
      </c>
      <c r="F170" s="698" t="s">
        <v>398</v>
      </c>
      <c r="G170" s="682" t="s">
        <v>224</v>
      </c>
      <c r="H170" s="699" t="s">
        <v>399</v>
      </c>
      <c r="I170" s="699" t="s">
        <v>400</v>
      </c>
      <c r="J170" s="663" t="s">
        <v>401</v>
      </c>
      <c r="K170" s="699" t="s">
        <v>402</v>
      </c>
      <c r="L170" s="682" t="s">
        <v>1329</v>
      </c>
      <c r="M170" s="675" t="s">
        <v>221</v>
      </c>
      <c r="N170" s="701" t="s">
        <v>405</v>
      </c>
      <c r="O170" s="571"/>
      <c r="P170" s="571"/>
      <c r="Q170" s="571"/>
    </row>
  </sheetData>
  <hyperlinks>
    <hyperlink r:id="rId1" ref="D22"/>
    <hyperlink r:id="rId2" ref="D23"/>
    <hyperlink r:id="rId3" ref="D24"/>
    <hyperlink r:id="rId4" ref="G24"/>
    <hyperlink r:id="rId5" ref="L24"/>
    <hyperlink r:id="rId6" ref="D25"/>
    <hyperlink r:id="rId7" ref="D27"/>
    <hyperlink r:id="rId8" ref="D29"/>
    <hyperlink r:id="rId9" ref="G29"/>
    <hyperlink r:id="rId10" ref="G31"/>
    <hyperlink r:id="rId11" ref="G32"/>
    <hyperlink r:id="rId12" ref="D35"/>
    <hyperlink r:id="rId13" ref="D36"/>
    <hyperlink r:id="rId14" ref="D38"/>
    <hyperlink r:id="rId15" ref="L38"/>
    <hyperlink r:id="rId16" ref="D69"/>
    <hyperlink r:id="rId17" ref="G80"/>
    <hyperlink r:id="rId18" ref="D95"/>
    <hyperlink r:id="rId19" ref="G95"/>
    <hyperlink r:id="rId20" ref="L95"/>
    <hyperlink r:id="rId21" ref="D98"/>
    <hyperlink r:id="rId22" ref="G98"/>
    <hyperlink r:id="rId23" ref="L98"/>
    <hyperlink r:id="rId24" ref="D107"/>
    <hyperlink r:id="rId25" ref="G107"/>
    <hyperlink r:id="rId26" ref="L107"/>
    <hyperlink r:id="rId27" ref="D149"/>
    <hyperlink r:id="rId28" ref="G149"/>
    <hyperlink r:id="rId29" ref="L149"/>
    <hyperlink r:id="rId30" ref="D154"/>
    <hyperlink r:id="rId31" ref="L154"/>
  </hyperlinks>
  <printOptions gridLines="1" horizontalCentered="1"/>
  <pageMargins bottom="0.75" footer="0.0" header="0.0" left="0.7" right="0.7" top="0.75"/>
  <pageSetup fitToHeight="0" cellComments="atEnd" orientation="portrait" pageOrder="overThenDown"/>
  <drawing r:id="rId32"/>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hidden="1" min="1" max="1" width="21.57"/>
    <col customWidth="1" hidden="1" min="2" max="2" width="14.0"/>
    <col customWidth="1" hidden="1" min="3" max="3" width="12.86"/>
    <col customWidth="1" hidden="1" min="4" max="4" width="21.57"/>
    <col customWidth="1" min="5" max="5" width="28.14"/>
    <col customWidth="1" min="6" max="6" width="17.86"/>
    <col customWidth="1" min="7" max="7" width="13.14"/>
    <col customWidth="1" min="8" max="8" width="19.86"/>
    <col customWidth="1" min="9" max="9" width="10.0"/>
    <col customWidth="1" min="10" max="10" width="18.0"/>
    <col customWidth="1" min="11" max="11" width="12.57"/>
    <col customWidth="1" min="12" max="12" width="11.71"/>
    <col customWidth="1" min="13" max="13" width="7.0"/>
    <col customWidth="1" min="14" max="14" width="84.86"/>
    <col customWidth="1" min="15" max="15" width="16.29"/>
  </cols>
  <sheetData>
    <row r="1">
      <c r="A1" s="634" t="s">
        <v>0</v>
      </c>
      <c r="B1" s="634" t="s">
        <v>2</v>
      </c>
      <c r="C1" s="634" t="s">
        <v>4</v>
      </c>
      <c r="D1" s="634" t="s">
        <v>6</v>
      </c>
      <c r="E1" s="635" t="s">
        <v>9</v>
      </c>
      <c r="F1" s="636" t="s">
        <v>201</v>
      </c>
      <c r="G1" s="637" t="s">
        <v>202</v>
      </c>
      <c r="H1" s="634" t="s">
        <v>203</v>
      </c>
      <c r="I1" s="636" t="s">
        <v>204</v>
      </c>
      <c r="J1" s="635" t="s">
        <v>1157</v>
      </c>
      <c r="K1" s="636" t="s">
        <v>1158</v>
      </c>
      <c r="L1" s="636" t="s">
        <v>1159</v>
      </c>
      <c r="M1" s="636" t="s">
        <v>22</v>
      </c>
      <c r="N1" s="636" t="s">
        <v>208</v>
      </c>
      <c r="O1" s="636" t="s">
        <v>209</v>
      </c>
    </row>
    <row r="2">
      <c r="A2" s="638"/>
      <c r="B2" s="406" t="s">
        <v>1160</v>
      </c>
      <c r="C2" s="406" t="s">
        <v>1161</v>
      </c>
      <c r="D2" s="406" t="s">
        <v>1162</v>
      </c>
      <c r="E2" s="639" t="s">
        <v>1163</v>
      </c>
      <c r="F2" s="406" t="s">
        <v>1164</v>
      </c>
      <c r="G2" s="640" t="s">
        <v>1165</v>
      </c>
      <c r="H2" s="406" t="s">
        <v>1166</v>
      </c>
      <c r="I2" s="406" t="s">
        <v>1167</v>
      </c>
      <c r="J2" s="641" t="s">
        <v>1169</v>
      </c>
      <c r="K2" s="642"/>
      <c r="L2" s="646" t="s">
        <v>1170</v>
      </c>
      <c r="M2" s="406" t="s">
        <v>1171</v>
      </c>
      <c r="N2" s="647" t="s">
        <v>1172</v>
      </c>
      <c r="O2" s="647"/>
    </row>
    <row r="3">
      <c r="A3" s="638">
        <v>43315.45822688658</v>
      </c>
      <c r="B3" s="70" t="s">
        <v>1173</v>
      </c>
      <c r="C3" s="70" t="s">
        <v>1174</v>
      </c>
      <c r="D3" s="70" t="s">
        <v>1175</v>
      </c>
      <c r="E3" s="650">
        <v>43335.0</v>
      </c>
      <c r="F3" s="70" t="s">
        <v>1176</v>
      </c>
      <c r="G3" s="559" t="str">
        <f>HYPERLINK("https://www.eventbrite.com/e/innovative-teaching-co-op-monthly-meetup-end-of-summer-tickets-47923010013","Register here")</f>
        <v>Register here</v>
      </c>
      <c r="H3" s="70" t="s">
        <v>1177</v>
      </c>
      <c r="I3" s="70" t="s">
        <v>1178</v>
      </c>
      <c r="J3" s="541" t="s">
        <v>1179</v>
      </c>
      <c r="K3" s="70" t="s">
        <v>1180</v>
      </c>
      <c r="L3" s="656" t="s">
        <v>1181</v>
      </c>
      <c r="M3" s="70" t="s">
        <v>221</v>
      </c>
      <c r="N3" s="70" t="s">
        <v>1185</v>
      </c>
      <c r="O3" s="70"/>
    </row>
    <row r="4">
      <c r="A4" s="638">
        <v>43342.41990680556</v>
      </c>
      <c r="B4" s="70" t="s">
        <v>1187</v>
      </c>
      <c r="C4" s="70" t="s">
        <v>1188</v>
      </c>
      <c r="D4" s="70" t="s">
        <v>1189</v>
      </c>
      <c r="E4" s="650">
        <v>43351.0</v>
      </c>
      <c r="F4" s="70" t="s">
        <v>1190</v>
      </c>
      <c r="G4" s="559" t="str">
        <f>HYPERLINK("https://docs.google.com/forms/d/e/1FAIpQLSfniGSrgtsoMdjspl9W303dIoZOJ6f_oRVlgfCRouKbPlCRFw/viewform","Register Here")</f>
        <v>Register Here</v>
      </c>
      <c r="H4" s="70" t="s">
        <v>1192</v>
      </c>
      <c r="I4" s="70" t="s">
        <v>1193</v>
      </c>
      <c r="J4" s="541" t="s">
        <v>1194</v>
      </c>
      <c r="K4" s="70" t="s">
        <v>1195</v>
      </c>
      <c r="L4" s="529" t="s">
        <v>1196</v>
      </c>
      <c r="M4" s="70" t="s">
        <v>221</v>
      </c>
      <c r="N4" s="70" t="s">
        <v>1199</v>
      </c>
      <c r="O4" s="70"/>
    </row>
    <row r="5">
      <c r="A5" s="659"/>
      <c r="B5" s="541"/>
      <c r="C5" s="541"/>
      <c r="D5" s="541"/>
      <c r="E5" s="660">
        <v>43361.0</v>
      </c>
      <c r="F5" s="541" t="s">
        <v>1201</v>
      </c>
      <c r="G5" s="451" t="s">
        <v>517</v>
      </c>
      <c r="H5" s="376" t="s">
        <v>1203</v>
      </c>
      <c r="I5" s="376" t="s">
        <v>539</v>
      </c>
      <c r="J5" s="541" t="s">
        <v>963</v>
      </c>
      <c r="K5" s="70" t="s">
        <v>1204</v>
      </c>
      <c r="L5" s="665" t="s">
        <v>1205</v>
      </c>
      <c r="M5" s="545" t="s">
        <v>221</v>
      </c>
      <c r="N5" s="541" t="s">
        <v>1212</v>
      </c>
      <c r="O5" s="541"/>
    </row>
    <row r="6">
      <c r="A6" s="638">
        <v>43349.507517094906</v>
      </c>
      <c r="B6" s="70" t="s">
        <v>466</v>
      </c>
      <c r="C6" s="70" t="s">
        <v>467</v>
      </c>
      <c r="D6" s="70" t="s">
        <v>468</v>
      </c>
      <c r="E6" s="666">
        <v>43371.0</v>
      </c>
      <c r="F6" s="70" t="s">
        <v>1217</v>
      </c>
      <c r="G6" s="559" t="str">
        <f>HYPERLINK("https://events.apple.com/content/events/us_education/us/en/k12ipadnycdoe-land.html?token=bg7jR2aSBfCSnbXE24Ph8WH8Pf0sa7H62EwN2nFCYPrBEOdF8jQRoOkc9GJfqaXAYb8YYfjrDgo4lWxhp1y-cU_RScWG9jwxKj1R0kEt5sx1QdrNLov97ISFZfkJ8aZW&amp;a=1&amp;l=e","Cancelled")</f>
        <v>Cancelled</v>
      </c>
      <c r="H6" s="70" t="s">
        <v>1221</v>
      </c>
      <c r="I6" s="70" t="s">
        <v>1222</v>
      </c>
      <c r="J6" s="541" t="s">
        <v>472</v>
      </c>
      <c r="K6" s="70" t="s">
        <v>1223</v>
      </c>
      <c r="L6" s="554" t="str">
        <f>HYPERLINK("https://events.apple.com/content/events/us_education/us/en/k12ipadnycdoe-land.html?token=bg7jR2aSBfCSnbXE24Ph8WH8Pf0sa7H62EwN2nFCYPrBEOdF8jQRoOkc9GJfqaXAYb8YYfjrDgo4lWxhp1y-cU_RScWG9jwxKj1R0kEt5sx1QdrNLov97ISFZfkJ8aZW&amp;a=1&amp;l=e","Deploying iOS in NYC")</f>
        <v>Deploying iOS in NYC</v>
      </c>
      <c r="M6" s="545" t="s">
        <v>280</v>
      </c>
      <c r="N6" s="70" t="s">
        <v>1226</v>
      </c>
      <c r="O6" s="70"/>
    </row>
    <row r="7">
      <c r="A7" s="638">
        <v>43349.5031940162</v>
      </c>
      <c r="B7" s="70" t="s">
        <v>466</v>
      </c>
      <c r="C7" s="70" t="s">
        <v>467</v>
      </c>
      <c r="D7" s="70" t="s">
        <v>468</v>
      </c>
      <c r="E7" s="666">
        <v>43371.0</v>
      </c>
      <c r="F7" s="70" t="s">
        <v>1228</v>
      </c>
      <c r="G7" s="559" t="str">
        <f>HYPERLINK("https://events.apple.com/content/events/us_education/us/en/k12macnycdoe-land.html?token=1HwfPgJr5Ai_ZQITNHLDLxJNeiE-wNNqySdGQuHu9Gcf7V44BAui5H55doMlZE47qPCr2vEbyY6EOsx3joN1rzJ995VFDYlNzlF3UxEGiMHzjC_0H_NPD2vVhIT0kVuP&amp;a=1&amp;l=e","Cancelled")</f>
        <v>Cancelled</v>
      </c>
      <c r="H7" s="70" t="s">
        <v>1231</v>
      </c>
      <c r="I7" s="70" t="s">
        <v>1232</v>
      </c>
      <c r="J7" s="541" t="s">
        <v>472</v>
      </c>
      <c r="K7" s="70" t="s">
        <v>1223</v>
      </c>
      <c r="L7" s="554" t="str">
        <f>HYPERLINK("https://events.apple.com/content/events/us_education/us/en/k12macnycdoe-land.html?token=1HwfPgJr5Ai_ZQITNHLDLxJNeiE-wNNqySdGQuHu9Gcf7V44BAui5H55doMlZE47qPCr2vEbyY6EOsx3joN1rzJ995VFDYlNzlF3UxEGiMHzjC_0H_NPD2vVhIT0kVuP&amp;a=1&amp;l=e","Deploying Mac in NYCDOE")</f>
        <v>Deploying Mac in NYCDOE</v>
      </c>
      <c r="M7" s="545" t="s">
        <v>280</v>
      </c>
      <c r="N7" s="70" t="s">
        <v>1236</v>
      </c>
      <c r="O7" s="70"/>
    </row>
    <row r="8">
      <c r="A8" s="659"/>
      <c r="B8" s="541"/>
      <c r="C8" s="541"/>
      <c r="D8" s="541"/>
      <c r="E8" s="666">
        <v>43372.0</v>
      </c>
      <c r="F8" s="541" t="s">
        <v>1238</v>
      </c>
      <c r="G8" s="451" t="str">
        <f t="shared" ref="G8:G9" si="1">HYPERLINK("https://www.surveygizmo.com/s3/2456714/Professional-Learning-Sign-up","Register Here")</f>
        <v>Register Here</v>
      </c>
      <c r="H8" s="376" t="s">
        <v>1239</v>
      </c>
      <c r="I8" s="376" t="s">
        <v>539</v>
      </c>
      <c r="J8" s="541" t="s">
        <v>17</v>
      </c>
      <c r="K8" s="70" t="s">
        <v>1180</v>
      </c>
      <c r="L8" s="668" t="str">
        <f>HYPERLINK("https://docs.google.com/document/d/1dM5Vne5pqD6Tgvdd98s20xg3vhMFqMo7ruyhkcfjpLc/edit","Beyond G-Suite")</f>
        <v>Beyond G-Suite</v>
      </c>
      <c r="M8" s="545" t="s">
        <v>221</v>
      </c>
      <c r="N8" s="541" t="s">
        <v>1243</v>
      </c>
      <c r="O8" s="541"/>
    </row>
    <row r="9">
      <c r="A9" s="659"/>
      <c r="B9" s="541"/>
      <c r="C9" s="541"/>
      <c r="D9" s="541"/>
      <c r="E9" s="666">
        <v>43372.0</v>
      </c>
      <c r="F9" s="541" t="s">
        <v>1244</v>
      </c>
      <c r="G9" s="451" t="str">
        <f t="shared" si="1"/>
        <v>Register Here</v>
      </c>
      <c r="H9" s="376" t="s">
        <v>1239</v>
      </c>
      <c r="I9" s="376" t="s">
        <v>1246</v>
      </c>
      <c r="J9" s="541" t="s">
        <v>17</v>
      </c>
      <c r="K9" s="70" t="s">
        <v>1180</v>
      </c>
      <c r="L9" s="668" t="str">
        <f t="shared" ref="L9:L10" si="2">HYPERLINK("https://docs.google.com/document/d/1NmDRKmc0yuhcYvY4jyoQg0by3e2YHsbwG98-40kYXMw/edit","G Suite 101")</f>
        <v>G Suite 101</v>
      </c>
      <c r="M9" s="545" t="s">
        <v>221</v>
      </c>
      <c r="N9" s="541" t="s">
        <v>1247</v>
      </c>
      <c r="O9" s="541"/>
    </row>
    <row r="10">
      <c r="A10" s="659"/>
      <c r="B10" s="541" t="s">
        <v>1248</v>
      </c>
      <c r="C10" s="541" t="s">
        <v>1032</v>
      </c>
      <c r="D10" s="541" t="s">
        <v>1249</v>
      </c>
      <c r="E10" s="666">
        <v>43375.0</v>
      </c>
      <c r="F10" s="541" t="s">
        <v>1016</v>
      </c>
      <c r="G10" s="451" t="str">
        <f>HYPERLINK("https://docs.google.com/forms/d/e/1FAIpQLSf26uQ_y2bftX9xCmIviTt4vFk2gsmZSro9nlioarNBl8r3FA/viewform","Register Here")</f>
        <v>Register Here</v>
      </c>
      <c r="H10" s="376" t="s">
        <v>1203</v>
      </c>
      <c r="I10" s="376" t="s">
        <v>539</v>
      </c>
      <c r="J10" s="541" t="s">
        <v>1251</v>
      </c>
      <c r="K10" s="70" t="s">
        <v>1180</v>
      </c>
      <c r="L10" s="668" t="str">
        <f t="shared" si="2"/>
        <v>G Suite 101</v>
      </c>
      <c r="M10" s="545" t="s">
        <v>221</v>
      </c>
      <c r="N10" s="541" t="s">
        <v>1254</v>
      </c>
      <c r="O10" s="541"/>
    </row>
    <row r="11">
      <c r="A11" s="638">
        <v>43304.79239287037</v>
      </c>
      <c r="B11" s="70" t="s">
        <v>1160</v>
      </c>
      <c r="C11" s="70" t="s">
        <v>1161</v>
      </c>
      <c r="D11" s="70" t="s">
        <v>1162</v>
      </c>
      <c r="E11" s="666">
        <v>43376.0</v>
      </c>
      <c r="F11" s="70" t="s">
        <v>1255</v>
      </c>
      <c r="G11" s="559" t="str">
        <f>HYPERLINK("https://www.microsoftevents.com/profile/form/index.cfm?PKformID=0x4562965abcd","Register Here")</f>
        <v>Register Here</v>
      </c>
      <c r="H11" s="70" t="s">
        <v>1256</v>
      </c>
      <c r="I11" s="70" t="s">
        <v>424</v>
      </c>
      <c r="J11" s="541" t="s">
        <v>52</v>
      </c>
      <c r="K11" s="70" t="s">
        <v>1257</v>
      </c>
      <c r="L11" s="529" t="s">
        <v>1258</v>
      </c>
      <c r="M11" s="545" t="s">
        <v>221</v>
      </c>
      <c r="N11" s="70" t="s">
        <v>1260</v>
      </c>
      <c r="O11" s="70"/>
    </row>
    <row r="12">
      <c r="A12" s="670">
        <v>43368.54452332176</v>
      </c>
      <c r="B12" s="670" t="s">
        <v>466</v>
      </c>
      <c r="C12" s="670" t="s">
        <v>467</v>
      </c>
      <c r="D12" s="670" t="s">
        <v>468</v>
      </c>
      <c r="E12" s="671">
        <v>43389.0</v>
      </c>
      <c r="F12" s="670" t="s">
        <v>469</v>
      </c>
      <c r="G12" s="673" t="str">
        <f>HYPERLINK("https://events.apple.com/content/events/us_education/us/en/access-abilities---land/access-abilities---rgst.html?token=pvYSnTquslJK-iAXLSBdlxzGYuEi0M2WrHfbMV8gQjEauMRzELZp4QwSkGY7xfPQIm4BtDV9jkjo3cBA3ZKdhMvmyHYJRlcxFi3gBvo0gSVqF8II9ZhvODV5mj2lkmD6&amp;a=1&amp;l=r","Register here")</f>
        <v>Register here</v>
      </c>
      <c r="H12" s="670" t="s">
        <v>1265</v>
      </c>
      <c r="I12" s="670" t="s">
        <v>1266</v>
      </c>
      <c r="J12" s="671" t="s">
        <v>1267</v>
      </c>
      <c r="K12" s="670" t="s">
        <v>1268</v>
      </c>
      <c r="L12" s="674" t="str">
        <f>HYPERLINK("https://events.apple.com/content/events/us_education/us/en/access-abilities---land/access-abilities---rgst.html?token=pvYSnTquslJK-iAXLSBdlxzGYuEi0M2WrHfbMV8gQjEauMRzELZp4QwSkGY7xfPQIm4BtDV9jkjo3cBA3ZKdhMvmyHYJRlcxFi3gBvo0gSVqF8II9ZhvODV5mj2lkmD6&amp;a=1&amp;l=r","Access Abilities Designing for All Learners")</f>
        <v>Access Abilities Designing for All Learners</v>
      </c>
      <c r="M12" s="545" t="s">
        <v>280</v>
      </c>
      <c r="N12" s="670" t="s">
        <v>1272</v>
      </c>
      <c r="O12" s="223" t="s">
        <v>428</v>
      </c>
    </row>
    <row r="13">
      <c r="A13" s="638">
        <v>43304.794156041666</v>
      </c>
      <c r="B13" s="70" t="s">
        <v>1160</v>
      </c>
      <c r="C13" s="70" t="s">
        <v>1161</v>
      </c>
      <c r="D13" s="70" t="s">
        <v>1162</v>
      </c>
      <c r="E13" s="666">
        <v>43390.0</v>
      </c>
      <c r="F13" s="70" t="s">
        <v>1273</v>
      </c>
      <c r="G13" s="559" t="str">
        <f>HYPERLINK("https://www.microsoftevents.com/profile/form/index.cfm?PKformID=0x4563041abcd","Register Here")</f>
        <v>Register Here</v>
      </c>
      <c r="H13" s="70" t="s">
        <v>1256</v>
      </c>
      <c r="I13" s="70" t="s">
        <v>1275</v>
      </c>
      <c r="J13" s="541" t="s">
        <v>52</v>
      </c>
      <c r="K13" s="70" t="s">
        <v>1257</v>
      </c>
      <c r="L13" s="529" t="s">
        <v>1276</v>
      </c>
      <c r="M13" s="545" t="s">
        <v>221</v>
      </c>
      <c r="N13" s="70" t="s">
        <v>1277</v>
      </c>
      <c r="O13" s="70"/>
    </row>
    <row r="14">
      <c r="A14" s="676">
        <v>43353.18600410879</v>
      </c>
      <c r="B14" s="535" t="s">
        <v>1279</v>
      </c>
      <c r="C14" s="535" t="s">
        <v>1280</v>
      </c>
      <c r="D14" s="535" t="s">
        <v>1281</v>
      </c>
      <c r="E14" s="666">
        <v>43393.0</v>
      </c>
      <c r="F14" s="70" t="s">
        <v>1282</v>
      </c>
      <c r="G14" s="559" t="str">
        <f>HYPERLINK("https://goo.gl/forms/5kXvEIq0etvqiuwf1","Register Here")</f>
        <v>Register Here</v>
      </c>
      <c r="H14" s="70" t="s">
        <v>1283</v>
      </c>
      <c r="I14" s="70" t="s">
        <v>1284</v>
      </c>
      <c r="J14" s="541" t="s">
        <v>1285</v>
      </c>
      <c r="K14" s="70" t="s">
        <v>1286</v>
      </c>
      <c r="L14" s="529" t="s">
        <v>1287</v>
      </c>
      <c r="M14" s="545" t="s">
        <v>221</v>
      </c>
      <c r="N14" s="70" t="s">
        <v>1290</v>
      </c>
      <c r="O14" s="70"/>
    </row>
    <row r="15">
      <c r="A15" s="638">
        <v>43349.5242590625</v>
      </c>
      <c r="B15" s="70" t="s">
        <v>466</v>
      </c>
      <c r="C15" s="70" t="s">
        <v>467</v>
      </c>
      <c r="D15" s="70" t="s">
        <v>468</v>
      </c>
      <c r="E15" s="666">
        <v>43399.0</v>
      </c>
      <c r="F15" s="70" t="s">
        <v>1291</v>
      </c>
      <c r="G15" s="559" t="str">
        <f>HYPERLINK("https://events.apple.com/content/events/us_education/us/en/k12ipadnycdoe-land.html?token=bg7jR2aSBfCSnbXE24Ph8QmobCcSUgTE1Q-VmVPzyx0e9-6wf8LilPvWsiUV_Z35lAYR43YT5kIKwR5kczmRb-YLbcSUcgmzLxYHt6-ZSI1KRfcogDyVpBlkbg6_lIHR&amp;a=1&amp;l=e","Register Here")</f>
        <v>Register Here</v>
      </c>
      <c r="H15" s="70" t="s">
        <v>1293</v>
      </c>
      <c r="I15" s="70" t="s">
        <v>1222</v>
      </c>
      <c r="J15" s="541" t="s">
        <v>472</v>
      </c>
      <c r="K15" s="70" t="s">
        <v>1223</v>
      </c>
      <c r="L15" s="554" t="str">
        <f>HYPERLINK("https://events.apple.com/content/events/us_education/us/en/k12ipadnycdoe-land.html?token=bg7jR2aSBfCSnbXE24Ph8QmobCcSUgTE1Q-VmVPzyx0e9-6wf8LilPvWsiUV_Z35lAYR43YT5kIKwR5kczmRb-YLbcSUcgmzLxYHt6-ZSI1KRfcogDyVpBlkbg6_lIHR&amp;a=1&amp;l=e","Deploying iOS in the NYCDOE")</f>
        <v>Deploying iOS in the NYCDOE</v>
      </c>
      <c r="M15" s="545" t="s">
        <v>280</v>
      </c>
      <c r="N15" s="70" t="s">
        <v>1294</v>
      </c>
      <c r="O15" s="70"/>
    </row>
    <row r="16">
      <c r="A16" s="638">
        <v>43349.52156403935</v>
      </c>
      <c r="B16" s="70" t="s">
        <v>466</v>
      </c>
      <c r="C16" s="70" t="s">
        <v>467</v>
      </c>
      <c r="D16" s="70" t="s">
        <v>468</v>
      </c>
      <c r="E16" s="666">
        <v>43399.0</v>
      </c>
      <c r="F16" s="70" t="s">
        <v>1228</v>
      </c>
      <c r="G16" s="559" t="str">
        <f>HYPERLINK("https://events.apple.com/content/events/us_education/us/en/k12macnycdoe-land.html?token=1HwfPgJr5Ai_ZQITNHLDL6UP1N4GFhFu8SWs_8ukoOrkdfehgUtCswH4H7vrI-1lgOPh8geoVFtBjwWoKVThc6vAyD1qSOEAruSBpDty9V_MV533qqahIIQAD2KA4Mp1&amp;a=1&amp;l=e","Register Here")</f>
        <v>Register Here</v>
      </c>
      <c r="H16" s="70" t="s">
        <v>1295</v>
      </c>
      <c r="I16" s="70" t="s">
        <v>1296</v>
      </c>
      <c r="J16" s="541" t="s">
        <v>472</v>
      </c>
      <c r="K16" s="70" t="s">
        <v>1223</v>
      </c>
      <c r="L16" s="554" t="str">
        <f>HYPERLINK("https://events.apple.com/content/events/us_education/us/en/k12macnycdoe-land.html?token=1HwfPgJr5Ai_ZQITNHLDL6UP1N4GFhFu8SWs_8ukoOrkdfehgUtCswH4H7vrI-1lgOPh8geoVFtBjwWoKVThc6vAyD1qSOEAruSBpDty9V_MV533qqahIIQAD2KA4Mp1&amp;a=1&amp;l=e","Deploying Mac in the NYCDOE")</f>
        <v>Deploying Mac in the NYCDOE</v>
      </c>
      <c r="M16" s="545" t="s">
        <v>280</v>
      </c>
      <c r="N16" s="70" t="s">
        <v>1236</v>
      </c>
      <c r="O16" s="70"/>
    </row>
    <row r="17">
      <c r="A17" s="659"/>
      <c r="B17" s="541"/>
      <c r="C17" s="541"/>
      <c r="D17" s="541"/>
      <c r="E17" s="666">
        <v>43400.0</v>
      </c>
      <c r="F17" s="541" t="s">
        <v>1300</v>
      </c>
      <c r="G17" s="451" t="str">
        <f>HYPERLINK("https://www.surveygizmo.com/s3/2456714/Professional-Learning-Sign-up","Register Here")</f>
        <v>Register Here</v>
      </c>
      <c r="H17" s="376" t="s">
        <v>1301</v>
      </c>
      <c r="I17" s="376" t="s">
        <v>539</v>
      </c>
      <c r="J17" s="541" t="s">
        <v>17</v>
      </c>
      <c r="K17" s="70" t="s">
        <v>1180</v>
      </c>
      <c r="L17" s="668" t="str">
        <f>HYPERLINK("bit.ly/DCPD2018","Agenda for Donors Choose")</f>
        <v>Agenda for Donors Choose</v>
      </c>
      <c r="M17" s="545" t="s">
        <v>221</v>
      </c>
      <c r="N17" s="541" t="s">
        <v>1302</v>
      </c>
      <c r="O17" s="541"/>
    </row>
    <row r="18">
      <c r="A18" s="670">
        <v>43367.472190810186</v>
      </c>
      <c r="B18" s="670" t="s">
        <v>466</v>
      </c>
      <c r="C18" s="670" t="s">
        <v>467</v>
      </c>
      <c r="D18" s="670" t="s">
        <v>468</v>
      </c>
      <c r="E18" s="671">
        <v>43402.0</v>
      </c>
      <c r="F18" s="670" t="s">
        <v>1304</v>
      </c>
      <c r="G18" s="673" t="str">
        <f>HYPERLINK("https://events.apple.com/content/events/us_education/us/en/getting-started-managing-macs.html?token=8Z9ogBDflOa2g7N6KgEICnp-E2MbyRBA2PLUTrYmmk-8-vTCeKPpYLMfFzNR6Ty4Q8KvU159W4QFkt1BLZbaQ3SJxh7rFKaoLYsEFf7zW-h-4f8NkxDTMZ8BTSDitPBS&amp;a=1&amp;l=e","Register here")</f>
        <v>Register here</v>
      </c>
      <c r="H18" s="670" t="s">
        <v>1306</v>
      </c>
      <c r="I18" s="670" t="s">
        <v>1307</v>
      </c>
      <c r="J18" s="671" t="s">
        <v>536</v>
      </c>
      <c r="K18" s="670" t="s">
        <v>1223</v>
      </c>
      <c r="L18" s="674" t="str">
        <f>HYPERLINK("https://events.apple.com/content/events/us_education/us/en/getting-started-managing-macs.html?token=8Z9ogBDflOa2g7N6KgEICnp-E2MbyRBA2PLUTrYmmk-8-vTCeKPpYLMfFzNR6Ty4Q8KvU159W4QFkt1BLZbaQ3SJxh7rFKaoLYsEFf7zW-h-4f8NkxDTMZ8BTSDitPBS&amp;a=1&amp;l=e","Getting Started managing Macs")</f>
        <v>Getting Started managing Macs</v>
      </c>
      <c r="M18" s="680" t="s">
        <v>280</v>
      </c>
      <c r="N18" s="670" t="s">
        <v>1315</v>
      </c>
      <c r="O18" s="670"/>
    </row>
    <row r="19">
      <c r="A19" s="659"/>
      <c r="B19" s="541" t="s">
        <v>1248</v>
      </c>
      <c r="C19" s="541" t="s">
        <v>1032</v>
      </c>
      <c r="D19" s="541" t="s">
        <v>1249</v>
      </c>
      <c r="E19" s="666">
        <v>43405.0</v>
      </c>
      <c r="F19" s="541" t="s">
        <v>1316</v>
      </c>
      <c r="G19" s="451" t="str">
        <f>HYPERLINK("https://docs.google.com/forms/d/e/1FAIpQLSf26uQ_y2bftX9xCmIviTt4vFk2gsmZSro9nlioarNBl8r3FA/viewform","Register Here")</f>
        <v>Register Here</v>
      </c>
      <c r="H19" s="376" t="s">
        <v>1203</v>
      </c>
      <c r="I19" s="376" t="s">
        <v>539</v>
      </c>
      <c r="J19" s="541" t="s">
        <v>1251</v>
      </c>
      <c r="K19" s="70" t="s">
        <v>1317</v>
      </c>
      <c r="L19" s="378" t="str">
        <f>HYPERLINK("https://docs.google.com/document/d/1bCC1Nf76Uq5rcS1zTEe8fT25uvcb_yTOAYFpHQh8XkA/edit","Intro to G Suite Admin Console")</f>
        <v>Intro to G Suite Admin Console</v>
      </c>
      <c r="M19" s="545" t="s">
        <v>221</v>
      </c>
      <c r="N19" s="541" t="s">
        <v>1318</v>
      </c>
      <c r="O19" s="541"/>
    </row>
    <row r="20">
      <c r="A20" s="681"/>
      <c r="B20" s="541"/>
      <c r="C20" s="541"/>
      <c r="D20" s="541"/>
      <c r="E20" s="666">
        <v>43405.0</v>
      </c>
      <c r="F20" s="541" t="s">
        <v>1319</v>
      </c>
      <c r="G20" s="451" t="str">
        <f>HYPERLINK("tinyurl.com/Nov2018MSMeetup","Register Here")</f>
        <v>Register Here</v>
      </c>
      <c r="H20" s="70" t="s">
        <v>1256</v>
      </c>
      <c r="I20" s="70" t="s">
        <v>1320</v>
      </c>
      <c r="J20" s="541" t="s">
        <v>52</v>
      </c>
      <c r="K20" s="70" t="s">
        <v>1321</v>
      </c>
      <c r="L20" s="541"/>
      <c r="M20" s="545" t="s">
        <v>221</v>
      </c>
      <c r="N20" s="541" t="s">
        <v>1323</v>
      </c>
      <c r="O20" s="541"/>
    </row>
    <row r="21">
      <c r="A21" s="681">
        <v>43319.54357638889</v>
      </c>
      <c r="B21" s="541" t="s">
        <v>1160</v>
      </c>
      <c r="C21" s="541" t="s">
        <v>1161</v>
      </c>
      <c r="D21" s="541" t="s">
        <v>1162</v>
      </c>
      <c r="E21" s="666">
        <v>43406.0</v>
      </c>
      <c r="F21" s="541" t="s">
        <v>1324</v>
      </c>
      <c r="G21" s="451" t="str">
        <f>HYPERLINK("https://www.microsoftevents.com/profile/4561559 ","Register Here")</f>
        <v>Register Here</v>
      </c>
      <c r="H21" s="70" t="s">
        <v>1256</v>
      </c>
      <c r="I21" s="70" t="s">
        <v>1275</v>
      </c>
      <c r="J21" s="541" t="s">
        <v>52</v>
      </c>
      <c r="K21" s="70" t="s">
        <v>1321</v>
      </c>
      <c r="L21" s="543" t="s">
        <v>1325</v>
      </c>
      <c r="M21" s="545" t="s">
        <v>221</v>
      </c>
      <c r="N21" s="541" t="s">
        <v>1330</v>
      </c>
      <c r="O21" s="541"/>
    </row>
    <row r="22">
      <c r="A22" s="676">
        <v>43353.1874809838</v>
      </c>
      <c r="B22" s="535" t="s">
        <v>1332</v>
      </c>
      <c r="C22" s="535" t="s">
        <v>1280</v>
      </c>
      <c r="D22" s="535" t="s">
        <v>1281</v>
      </c>
      <c r="E22" s="666">
        <v>43407.0</v>
      </c>
      <c r="F22" s="70" t="s">
        <v>1282</v>
      </c>
      <c r="G22" s="559" t="str">
        <f>HYPERLINK("https://goo.gl/forms/FW52eOwfo8RUCVFD3","Register Here")</f>
        <v>Register Here</v>
      </c>
      <c r="H22" s="70" t="s">
        <v>1283</v>
      </c>
      <c r="I22" s="70" t="s">
        <v>1284</v>
      </c>
      <c r="J22" s="541" t="s">
        <v>1285</v>
      </c>
      <c r="K22" s="70" t="s">
        <v>1286</v>
      </c>
      <c r="L22" s="529" t="s">
        <v>1334</v>
      </c>
      <c r="M22" s="545" t="s">
        <v>221</v>
      </c>
      <c r="N22" s="70" t="s">
        <v>1290</v>
      </c>
      <c r="O22" s="70"/>
    </row>
    <row r="23">
      <c r="A23" s="638"/>
      <c r="B23" s="70"/>
      <c r="C23" s="70"/>
      <c r="D23" s="70"/>
      <c r="E23" s="666">
        <v>43410.0</v>
      </c>
      <c r="F23" s="70" t="s">
        <v>1340</v>
      </c>
      <c r="G23" s="559" t="str">
        <f>HYPERLINK("https://www.eventbrite.com/e/ilearnnyc-innovative-institute-i-november-2018-tickets-50739496199","Register Here")</f>
        <v>Register Here</v>
      </c>
      <c r="H23" s="70" t="s">
        <v>1342</v>
      </c>
      <c r="I23" s="70" t="s">
        <v>1344</v>
      </c>
      <c r="J23" s="541" t="s">
        <v>916</v>
      </c>
      <c r="K23" s="70" t="s">
        <v>1345</v>
      </c>
      <c r="L23" s="70" t="s">
        <v>1346</v>
      </c>
      <c r="M23" s="545" t="s">
        <v>221</v>
      </c>
      <c r="N23" s="70" t="s">
        <v>1347</v>
      </c>
      <c r="O23" s="70"/>
    </row>
    <row r="24">
      <c r="A24" s="638">
        <v>43347.64913039352</v>
      </c>
      <c r="B24" s="70" t="s">
        <v>1348</v>
      </c>
      <c r="C24" s="70" t="s">
        <v>1349</v>
      </c>
      <c r="D24" s="70" t="s">
        <v>1350</v>
      </c>
      <c r="E24" s="666">
        <v>43410.0</v>
      </c>
      <c r="F24" s="70" t="s">
        <v>1351</v>
      </c>
      <c r="G24" s="559" t="str">
        <f>HYPERLINK("https://www.eventbrite.com/e/2018-fall-library-conference-school-libraries-inspire-dreamers-registration-48460109492","Register Here")</f>
        <v>Register Here</v>
      </c>
      <c r="H24" s="70" t="s">
        <v>1352</v>
      </c>
      <c r="I24" s="70" t="s">
        <v>1353</v>
      </c>
      <c r="J24" s="541" t="s">
        <v>1078</v>
      </c>
      <c r="K24" s="689"/>
      <c r="L24" s="529" t="s">
        <v>1357</v>
      </c>
      <c r="M24" s="545" t="s">
        <v>221</v>
      </c>
      <c r="N24" s="70" t="s">
        <v>1361</v>
      </c>
      <c r="O24" s="70"/>
    </row>
    <row r="25">
      <c r="A25" s="681"/>
      <c r="B25" s="541"/>
      <c r="C25" s="541"/>
      <c r="D25" s="541"/>
      <c r="E25" s="666">
        <v>43410.0</v>
      </c>
      <c r="F25" s="668" t="str">
        <f>HYPERLINK("https://docs.google.com/document/d/1DtRw-A_2kBHB-C5_5dc0qqSHriOE-vKz49RoONMzudY/edit","#NYCSchoolsTech Summit on Digital Citizenship")</f>
        <v>#NYCSchoolsTech Summit on Digital Citizenship</v>
      </c>
      <c r="G25" s="451" t="str">
        <f>HYPERLINK("https://www.surveygizmo.com/s3/2456714/Professional-Learning-Sign-up","Register Here")</f>
        <v>Register Here</v>
      </c>
      <c r="H25" s="376" t="s">
        <v>1203</v>
      </c>
      <c r="I25" s="70" t="s">
        <v>1369</v>
      </c>
      <c r="J25" s="541" t="s">
        <v>116</v>
      </c>
      <c r="K25" s="659"/>
      <c r="L25" s="668" t="str">
        <f>HYPERLINK("https://na01.safelinks.protection.outlook.com/?url=https%3A%2F%2Fdocs.google.com%2Fdocument%2Fd%2F1DtRw-A_2kBHB-C5_5dc0qqSHriOE-vKz49RoONMzudY%2Fedit&amp;data=02%7C01%7C%7Ca6afdba91d9f423f39db08d602145731%7C18492cb7ef45456185710c42e5f7ac07%7C0%7C0%7C636698683"&amp;"710095288&amp;sdata=MuZ0Y%2BbWas7mXJwkM6l7W7Ky8ARmJJuKDRP%2FoAkEVx0%3D&amp;reserved=0","Program overview")</f>
        <v>Program overview</v>
      </c>
      <c r="M25" s="545" t="s">
        <v>221</v>
      </c>
      <c r="N25" s="541" t="s">
        <v>1372</v>
      </c>
      <c r="O25" s="541"/>
    </row>
    <row r="26">
      <c r="A26" s="681">
        <v>43319.54550925926</v>
      </c>
      <c r="B26" s="541" t="s">
        <v>1160</v>
      </c>
      <c r="C26" s="541" t="s">
        <v>1161</v>
      </c>
      <c r="D26" s="541" t="s">
        <v>1162</v>
      </c>
      <c r="E26" s="666">
        <v>43411.0</v>
      </c>
      <c r="F26" s="541" t="s">
        <v>1373</v>
      </c>
      <c r="G26" s="451" t="str">
        <f>HYPERLINK("https://www.microsoftevents.com/profile/4561635 ","Register Here")</f>
        <v>Register Here</v>
      </c>
      <c r="H26" s="70" t="s">
        <v>1256</v>
      </c>
      <c r="I26" s="70" t="s">
        <v>1275</v>
      </c>
      <c r="J26" s="541" t="s">
        <v>52</v>
      </c>
      <c r="K26" s="70"/>
      <c r="L26" s="543" t="s">
        <v>1374</v>
      </c>
      <c r="M26" s="545" t="s">
        <v>221</v>
      </c>
      <c r="N26" s="541" t="s">
        <v>1378</v>
      </c>
      <c r="O26" s="541"/>
    </row>
    <row r="27">
      <c r="A27" s="702"/>
      <c r="B27" s="702"/>
      <c r="C27" s="702"/>
      <c r="D27" s="702"/>
      <c r="E27" s="671">
        <v>43430.0</v>
      </c>
      <c r="F27" s="670" t="s">
        <v>1379</v>
      </c>
      <c r="G27" s="673" t="str">
        <f>HYPERLINK("https://events.apple.com/content/events/us_education/us/en/getting-started-managing-macs.html?token=8Z9ogBDflOa2g7N6KgEICo_9WiiBQQcEaJu3iOsW4btlOZwZvbVR6t-WYmII6m754kP9mWOHnrw6w-eBQfjYO-Tiz-AY74QnYhPtyKSP8Jm65-j7Bm5yVjyD7WX1xZt9&amp;a=1&amp;l=e","Register here")</f>
        <v>Register here</v>
      </c>
      <c r="H27" s="670" t="s">
        <v>1306</v>
      </c>
      <c r="I27" s="670" t="s">
        <v>1383</v>
      </c>
      <c r="J27" s="671" t="s">
        <v>472</v>
      </c>
      <c r="K27" s="670" t="s">
        <v>1223</v>
      </c>
      <c r="L27" s="674" t="str">
        <f>HYPERLINK("https://events.apple.com/content/events/us_education/us/en/getting-started-managing-macs.html?token=8Z9ogBDflOa2g7N6KgEICo_9WiiBQQcEaJu3iOsW4btlOZwZvbVR6t-WYmII6m754kP9mWOHnrw6w-eBQfjYO-Tiz-AY74QnYhPtyKSP8Jm65-j7Bm5yVjyD7WX1xZt9&amp;a=1&amp;l=e","Getting Started Managing Macs")</f>
        <v>Getting Started Managing Macs</v>
      </c>
      <c r="M27" s="680" t="s">
        <v>280</v>
      </c>
      <c r="N27" s="670" t="s">
        <v>1315</v>
      </c>
      <c r="O27" s="670"/>
    </row>
    <row r="28">
      <c r="A28" s="638"/>
      <c r="B28" s="70"/>
      <c r="C28" s="70"/>
      <c r="D28" s="70"/>
      <c r="E28" s="666">
        <v>43432.0</v>
      </c>
      <c r="F28" s="70" t="s">
        <v>1391</v>
      </c>
      <c r="G28" s="559" t="str">
        <f>HYPERLINK("https://www.surveygizmo.com/s3/2456714/Professional-Learning-Sign-up","Register here")</f>
        <v>Register here</v>
      </c>
      <c r="H28" s="70" t="s">
        <v>1393</v>
      </c>
      <c r="I28" s="70" t="s">
        <v>226</v>
      </c>
      <c r="J28" s="541" t="s">
        <v>1394</v>
      </c>
      <c r="K28" s="70" t="s">
        <v>1396</v>
      </c>
      <c r="L28" s="554" t="str">
        <f>HYPERLINK("https://nycdoe-my.sharepoint.com/:w:/g/personal/mwillard3_schools_nyc_gov/Ea2dwYdfH_tLldudmtEMUWMB2Xkhlo01mwyql7_YECXoNA?e=GeHFlc","Website Agenda  ")</f>
        <v>Website Agenda  </v>
      </c>
      <c r="M28" s="545" t="s">
        <v>221</v>
      </c>
      <c r="N28" s="70" t="s">
        <v>1405</v>
      </c>
      <c r="O28" s="223" t="s">
        <v>428</v>
      </c>
    </row>
    <row r="29">
      <c r="A29" s="638"/>
      <c r="B29" s="70"/>
      <c r="C29" s="70"/>
      <c r="D29" s="70"/>
      <c r="E29" s="666">
        <v>43432.0</v>
      </c>
      <c r="F29" s="70" t="s">
        <v>1407</v>
      </c>
      <c r="G29" s="559" t="str">
        <f>HYPERLINK("https://www.surveygizmo.com/s3/2325967/SPOC-PD-Registration","Register Here")</f>
        <v>Register Here</v>
      </c>
      <c r="H29" s="70" t="s">
        <v>1410</v>
      </c>
      <c r="I29" s="70" t="s">
        <v>226</v>
      </c>
      <c r="J29" s="541" t="s">
        <v>116</v>
      </c>
      <c r="K29" s="70" t="s">
        <v>219</v>
      </c>
      <c r="L29" s="554" t="str">
        <f>HYPERLINK("https://drive.google.com/open?id=16rMmVYxkbDNBGVYNyzpHCx-A-n4TUprP","SPOC Meet-up")</f>
        <v>SPOC Meet-up</v>
      </c>
      <c r="M29" s="545" t="s">
        <v>221</v>
      </c>
      <c r="N29" s="70" t="s">
        <v>222</v>
      </c>
      <c r="O29" s="70"/>
    </row>
    <row r="30">
      <c r="A30" s="638">
        <v>43349.52800436343</v>
      </c>
      <c r="B30" s="70" t="s">
        <v>466</v>
      </c>
      <c r="C30" s="70" t="s">
        <v>467</v>
      </c>
      <c r="D30" s="70" t="s">
        <v>468</v>
      </c>
      <c r="E30" s="666">
        <v>43434.0</v>
      </c>
      <c r="F30" s="70" t="s">
        <v>1291</v>
      </c>
      <c r="G30" s="559" t="str">
        <f>HYPERLINK("https://events.apple.com/content/events/us_education/us/en/k12ipadnycdoe-land.html?token=1HwfPgJr5Ai_ZQITNHLDL7T8jU06vB9ilPKNu9eyzSo5WuyePaGmxmZRy_mBBah3JpFfF32RbYrvf2d_wNwfLTCF5M5MeDZHcIqTBCOjnSAPuvwAtnRinyTjUYdPiXdx&amp;a=1&amp;l=e","Register Here")</f>
        <v>Register Here</v>
      </c>
      <c r="H30" s="70" t="s">
        <v>1293</v>
      </c>
      <c r="I30" s="70" t="s">
        <v>1425</v>
      </c>
      <c r="J30" s="541" t="s">
        <v>472</v>
      </c>
      <c r="K30" s="70" t="s">
        <v>1223</v>
      </c>
      <c r="L30" s="554" t="str">
        <f>HYPERLINK("https://events.apple.com/content/events/us_education/us/en/k12ipadnycdoe-land.html?token=1HwfPgJr5Ai_ZQITNHLDL7T8jU06vB9ilPKNu9eyzSo5WuyePaGmxmZRy_mBBah3JpFfF32RbYrvf2d_wNwfLTCF5M5MeDZHcIqTBCOjnSAPuvwAtnRinyTjUYdPiXdx&amp;a=1&amp;l=e","Deploying iOS in the NYCDOE")</f>
        <v>Deploying iOS in the NYCDOE</v>
      </c>
      <c r="M30" s="545" t="s">
        <v>280</v>
      </c>
      <c r="N30" s="70" t="s">
        <v>1226</v>
      </c>
      <c r="O30" s="70"/>
    </row>
    <row r="31">
      <c r="A31" s="638">
        <v>43349.52645038195</v>
      </c>
      <c r="B31" s="70" t="s">
        <v>466</v>
      </c>
      <c r="C31" s="70" t="s">
        <v>467</v>
      </c>
      <c r="D31" s="70" t="s">
        <v>468</v>
      </c>
      <c r="E31" s="666">
        <v>43434.0</v>
      </c>
      <c r="F31" s="70" t="s">
        <v>1228</v>
      </c>
      <c r="G31" s="559" t="str">
        <f>HYPERLINK("https://events.apple.com/content/events/us_education/us/en/k12macnycdoe-land.html?token=1HwfPgJr5Ai_ZQITNHLDLyN8YtgxCL1rYZ0VS5hNvt8RZ48ObAKt4d0t2zUCmM0dAbLsLbgOqV-geFZ1UYswFwzpqIF7mhyegqrHvqy8pT1qYY27BEt-PgxiIZ1CH198&amp;a=1&amp;l=e","Register Here")</f>
        <v>Register Here</v>
      </c>
      <c r="H31" s="70" t="s">
        <v>1293</v>
      </c>
      <c r="I31" s="70" t="s">
        <v>471</v>
      </c>
      <c r="J31" s="541" t="s">
        <v>1267</v>
      </c>
      <c r="K31" s="70" t="s">
        <v>1223</v>
      </c>
      <c r="L31" s="554" t="str">
        <f>HYPERLINK("https://events.apple.com/content/events/us_education/us/en/k12macnycdoe-land.html?token=1HwfPgJr5Ai_ZQITNHLDLyN8YtgxCL1rYZ0VS5hNvt8RZ48ObAKt4d0t2zUCmM0dAbLsLbgOqV-geFZ1UYswFwzpqIF7mhyegqrHvqy8pT1qYY27BEt-PgxiIZ1CH198&amp;a=1&amp;l=e","Deploying Mac in the NYCDOE")</f>
        <v>Deploying Mac in the NYCDOE</v>
      </c>
      <c r="M31" s="545" t="s">
        <v>280</v>
      </c>
      <c r="N31" s="70" t="s">
        <v>1236</v>
      </c>
      <c r="O31" s="70"/>
    </row>
    <row r="32">
      <c r="A32" s="676">
        <v>43353.18835715277</v>
      </c>
      <c r="B32" s="535" t="s">
        <v>1332</v>
      </c>
      <c r="C32" s="535" t="s">
        <v>1280</v>
      </c>
      <c r="D32" s="535" t="s">
        <v>1281</v>
      </c>
      <c r="E32" s="666">
        <v>43435.0</v>
      </c>
      <c r="F32" s="70" t="s">
        <v>1282</v>
      </c>
      <c r="G32" s="559" t="str">
        <f>HYPERLINK("https://goo.gl/forms/FW52eOwfo8RUCVFD3","Register Here")</f>
        <v>Register Here</v>
      </c>
      <c r="H32" s="70" t="s">
        <v>1283</v>
      </c>
      <c r="I32" s="70" t="s">
        <v>1284</v>
      </c>
      <c r="J32" s="541" t="s">
        <v>1285</v>
      </c>
      <c r="K32" s="70" t="s">
        <v>1286</v>
      </c>
      <c r="L32" s="529" t="s">
        <v>1334</v>
      </c>
      <c r="M32" s="545" t="s">
        <v>221</v>
      </c>
      <c r="N32" s="70" t="s">
        <v>1290</v>
      </c>
      <c r="O32" s="70"/>
    </row>
    <row r="33">
      <c r="A33" s="681"/>
      <c r="B33" s="541"/>
      <c r="C33" s="541"/>
      <c r="D33" s="541"/>
      <c r="E33" s="666">
        <v>43437.0</v>
      </c>
      <c r="F33" s="70" t="s">
        <v>235</v>
      </c>
      <c r="G33" s="559" t="str">
        <f>HYPERLINK("https://www.surveygizmo.com/s3/2325967/SPOC-PD-Registration","Register Here")</f>
        <v>Register Here</v>
      </c>
      <c r="H33" s="70" t="s">
        <v>237</v>
      </c>
      <c r="I33" s="70" t="s">
        <v>226</v>
      </c>
      <c r="J33" s="541" t="s">
        <v>116</v>
      </c>
      <c r="K33" s="70" t="s">
        <v>219</v>
      </c>
      <c r="L33" s="554" t="str">
        <f>HYPERLINK("https://drive.google.com/open?id=16rMmVYxkbDNBGVYNyzpHCx-A-n4TUprP","SPOC Meet-up")</f>
        <v>SPOC Meet-up</v>
      </c>
      <c r="M33" s="545" t="s">
        <v>221</v>
      </c>
      <c r="N33" s="70" t="s">
        <v>222</v>
      </c>
      <c r="O33" s="70"/>
    </row>
    <row r="34">
      <c r="A34" s="681">
        <v>43319.54666666667</v>
      </c>
      <c r="B34" s="541" t="s">
        <v>1160</v>
      </c>
      <c r="C34" s="541" t="s">
        <v>1161</v>
      </c>
      <c r="D34" s="541" t="s">
        <v>1162</v>
      </c>
      <c r="E34" s="666">
        <v>43439.0</v>
      </c>
      <c r="F34" s="541" t="s">
        <v>1432</v>
      </c>
      <c r="G34" s="451" t="str">
        <f>HYPERLINK("https://www.microsoftevents.com/profile/form/index.cfm?PKformID=0x4556828abcd","Register Here")</f>
        <v>Register Here</v>
      </c>
      <c r="H34" s="70" t="s">
        <v>1256</v>
      </c>
      <c r="I34" s="70" t="s">
        <v>1275</v>
      </c>
      <c r="J34" s="541" t="s">
        <v>52</v>
      </c>
      <c r="K34" s="70"/>
      <c r="L34" s="668" t="str">
        <f>HYPERLINK("https://tinyurl.com/yd3usys4","Accessibility Teacher Academy")</f>
        <v>Accessibility Teacher Academy</v>
      </c>
      <c r="M34" s="545" t="s">
        <v>221</v>
      </c>
      <c r="N34" s="541" t="s">
        <v>1433</v>
      </c>
      <c r="O34" s="223" t="s">
        <v>428</v>
      </c>
    </row>
    <row r="35">
      <c r="A35" s="676"/>
      <c r="B35" s="535"/>
      <c r="C35" s="535"/>
      <c r="D35" s="535"/>
      <c r="E35" s="666">
        <v>43441.0</v>
      </c>
      <c r="F35" s="70" t="s">
        <v>1028</v>
      </c>
      <c r="G35" s="559" t="str">
        <f>HYPERLINK("https://www.surveygizmo.com/s3/2325967/SPOC-PD-Registration","Register Here")</f>
        <v>Register Here</v>
      </c>
      <c r="H35" s="70" t="s">
        <v>1029</v>
      </c>
      <c r="I35" s="70" t="s">
        <v>226</v>
      </c>
      <c r="J35" s="541" t="s">
        <v>116</v>
      </c>
      <c r="K35" s="70" t="s">
        <v>219</v>
      </c>
      <c r="L35" s="554" t="str">
        <f>HYPERLINK("https://drive.google.com/open?id=16rMmVYxkbDNBGVYNyzpHCx-A-n4TUprP","SPOC Meet-up")</f>
        <v>SPOC Meet-up</v>
      </c>
      <c r="M35" s="545" t="s">
        <v>221</v>
      </c>
      <c r="N35" s="70" t="s">
        <v>222</v>
      </c>
      <c r="O35" s="70"/>
    </row>
    <row r="36">
      <c r="A36" s="676">
        <v>43353.18902873843</v>
      </c>
      <c r="B36" s="535" t="s">
        <v>1279</v>
      </c>
      <c r="C36" s="535" t="s">
        <v>1280</v>
      </c>
      <c r="D36" s="535" t="s">
        <v>1281</v>
      </c>
      <c r="E36" s="666">
        <v>43442.0</v>
      </c>
      <c r="F36" s="70" t="s">
        <v>1282</v>
      </c>
      <c r="G36" s="559" t="str">
        <f>HYPERLINK("https://goo.gl/forms/FW52eOwfo8RUCVFD3","Register Here")</f>
        <v>Register Here</v>
      </c>
      <c r="H36" s="70" t="s">
        <v>1283</v>
      </c>
      <c r="I36" s="70" t="s">
        <v>1284</v>
      </c>
      <c r="J36" s="541" t="s">
        <v>1285</v>
      </c>
      <c r="K36" s="70" t="s">
        <v>1286</v>
      </c>
      <c r="L36" s="554" t="str">
        <f>HYPERLINK("https://goo.gl/forms/FW52eOwfo8RUCVFD3","Google CS First Workshop (FREE)")</f>
        <v>Google CS First Workshop (FREE)</v>
      </c>
      <c r="M36" s="545" t="s">
        <v>221</v>
      </c>
      <c r="N36" s="70" t="s">
        <v>1290</v>
      </c>
      <c r="O36" s="70"/>
    </row>
    <row r="37">
      <c r="A37" s="706"/>
      <c r="B37" s="707"/>
      <c r="C37" s="707"/>
      <c r="D37" s="707"/>
      <c r="E37" s="666">
        <v>43444.0</v>
      </c>
      <c r="F37" s="70" t="s">
        <v>1407</v>
      </c>
      <c r="G37" s="559" t="str">
        <f>HYPERLINK("https://www.surveygizmo.com/s3/2325967/SPOC-PD-Registration","Register Here")</f>
        <v>Register Here</v>
      </c>
      <c r="H37" s="70" t="s">
        <v>1410</v>
      </c>
      <c r="I37" s="70" t="s">
        <v>226</v>
      </c>
      <c r="J37" s="541" t="s">
        <v>116</v>
      </c>
      <c r="K37" s="70" t="s">
        <v>219</v>
      </c>
      <c r="L37" s="554" t="str">
        <f>HYPERLINK("https://drive.google.com/open?id=16rMmVYxkbDNBGVYNyzpHCx-A-n4TUprP","SPOC Meet-up")</f>
        <v>SPOC Meet-up</v>
      </c>
      <c r="M37" s="545" t="s">
        <v>221</v>
      </c>
      <c r="N37" s="70" t="s">
        <v>222</v>
      </c>
      <c r="O37" s="70"/>
    </row>
    <row r="38">
      <c r="A38" s="706">
        <v>43399.602754629625</v>
      </c>
      <c r="B38" s="707" t="s">
        <v>1173</v>
      </c>
      <c r="C38" s="707" t="s">
        <v>1174</v>
      </c>
      <c r="D38" s="707" t="s">
        <v>1175</v>
      </c>
      <c r="E38" s="666">
        <v>43446.0</v>
      </c>
      <c r="F38" s="70" t="s">
        <v>1436</v>
      </c>
      <c r="G38" s="559" t="str">
        <f>HYPERLINK("https://www.eventbrite.com/e/brooklyn-north-sharefest-for-innovative-teaching-registration-51664962293","Register Here")</f>
        <v>Register Here</v>
      </c>
      <c r="H38" s="70" t="s">
        <v>1437</v>
      </c>
      <c r="I38" s="70" t="s">
        <v>1438</v>
      </c>
      <c r="J38" s="541" t="s">
        <v>1439</v>
      </c>
      <c r="K38" s="70" t="s">
        <v>1441</v>
      </c>
      <c r="L38" s="554" t="str">
        <f>HYPERLINK("https://docs.google.com/document/d/1x2IvAioKNR1rnyECAfKBDxbA4BR1X5tyb02Z2v6y0J4/edit","Agenda / Event Overview")</f>
        <v>Agenda / Event Overview</v>
      </c>
      <c r="M38" s="70" t="s">
        <v>221</v>
      </c>
      <c r="N38" s="70" t="s">
        <v>1443</v>
      </c>
      <c r="O38" s="70"/>
    </row>
    <row r="39">
      <c r="A39" s="681">
        <v>43319.54846064815</v>
      </c>
      <c r="B39" s="541" t="s">
        <v>1160</v>
      </c>
      <c r="C39" s="541" t="s">
        <v>1161</v>
      </c>
      <c r="D39" s="541" t="s">
        <v>1162</v>
      </c>
      <c r="E39" s="666">
        <v>43446.0</v>
      </c>
      <c r="F39" s="541" t="s">
        <v>1444</v>
      </c>
      <c r="G39" s="451" t="str">
        <f>HYPERLINK("https://www.microsoftevents.com/profile/form/index.cfm?PKformID=0x4556904abcd","Register Here")</f>
        <v>Register Here</v>
      </c>
      <c r="H39" s="70" t="s">
        <v>1256</v>
      </c>
      <c r="I39" s="70" t="s">
        <v>1275</v>
      </c>
      <c r="J39" s="541" t="s">
        <v>52</v>
      </c>
      <c r="K39" s="70"/>
      <c r="L39" s="543" t="s">
        <v>1445</v>
      </c>
      <c r="M39" s="545" t="s">
        <v>221</v>
      </c>
      <c r="N39" s="541" t="s">
        <v>1447</v>
      </c>
      <c r="O39" s="541"/>
    </row>
    <row r="40">
      <c r="A40" s="659"/>
      <c r="B40" s="541"/>
      <c r="C40" s="541"/>
      <c r="D40" s="541"/>
      <c r="E40" s="666">
        <v>43447.0</v>
      </c>
      <c r="F40" s="70" t="s">
        <v>1448</v>
      </c>
      <c r="G40" s="559" t="str">
        <f>HYPERLINK("https://www.surveygizmo.com/s3/2325967/SPOC-PD-Registration","Register Here")</f>
        <v>Register Here</v>
      </c>
      <c r="H40" s="70" t="s">
        <v>1449</v>
      </c>
      <c r="I40" s="70" t="s">
        <v>226</v>
      </c>
      <c r="J40" s="541" t="s">
        <v>116</v>
      </c>
      <c r="K40" s="70" t="s">
        <v>219</v>
      </c>
      <c r="L40" s="554" t="str">
        <f>HYPERLINK("https://drive.google.com/open?id=16rMmVYxkbDNBGVYNyzpHCx-A-n4TUprP","SPOC Meet-up")</f>
        <v>SPOC Meet-up</v>
      </c>
      <c r="M40" s="545" t="s">
        <v>221</v>
      </c>
      <c r="N40" s="70" t="s">
        <v>222</v>
      </c>
      <c r="O40" s="70"/>
    </row>
    <row r="41" ht="48.75" customHeight="1">
      <c r="A41" s="659"/>
      <c r="B41" s="541" t="s">
        <v>1248</v>
      </c>
      <c r="C41" s="541" t="s">
        <v>1032</v>
      </c>
      <c r="D41" s="541" t="s">
        <v>1249</v>
      </c>
      <c r="E41" s="666">
        <v>43448.0</v>
      </c>
      <c r="F41" s="541" t="s">
        <v>1016</v>
      </c>
      <c r="G41" s="451" t="str">
        <f>HYPERLINK("https://docs.google.com/forms/d/e/1FAIpQLSf26uQ_y2bftX9xCmIviTt4vFk2gsmZSro9nlioarNBl8r3FA/viewform","Register Here")</f>
        <v>Register Here</v>
      </c>
      <c r="H41" s="376" t="s">
        <v>735</v>
      </c>
      <c r="I41" s="70" t="s">
        <v>226</v>
      </c>
      <c r="J41" s="541" t="s">
        <v>1251</v>
      </c>
      <c r="K41" s="70" t="s">
        <v>1317</v>
      </c>
      <c r="L41" s="668" t="str">
        <f>HYPERLINK("https://docs.google.com/document/d/1NmDRKmc0yuhcYvY4jyoQg0by3e2YHsbwG98-40kYXMw/edit","G Suite 101")</f>
        <v>G Suite 101</v>
      </c>
      <c r="M41" s="545" t="s">
        <v>221</v>
      </c>
      <c r="N41" s="541" t="s">
        <v>1254</v>
      </c>
      <c r="O41" s="541"/>
    </row>
    <row r="42">
      <c r="A42" s="638"/>
      <c r="B42" s="70"/>
      <c r="C42" s="70"/>
      <c r="D42" s="70"/>
      <c r="E42" s="666">
        <v>43451.0</v>
      </c>
      <c r="F42" s="70" t="s">
        <v>1028</v>
      </c>
      <c r="G42" s="559" t="str">
        <f>HYPERLINK("https://www.surveygizmo.com/s3/2325967/SPOC-PD-Registration","Register Here")</f>
        <v>Register Here</v>
      </c>
      <c r="H42" s="70" t="s">
        <v>1029</v>
      </c>
      <c r="I42" s="70" t="s">
        <v>226</v>
      </c>
      <c r="J42" s="541" t="s">
        <v>116</v>
      </c>
      <c r="K42" s="70" t="s">
        <v>219</v>
      </c>
      <c r="L42" s="554" t="str">
        <f>HYPERLINK("https://drive.google.com/open?id=16rMmVYxkbDNBGVYNyzpHCx-A-n4TUprP","SPOC Meet-up")</f>
        <v>SPOC Meet-up</v>
      </c>
      <c r="M42" s="545" t="s">
        <v>221</v>
      </c>
      <c r="N42" s="70" t="s">
        <v>222</v>
      </c>
      <c r="O42" s="70"/>
    </row>
    <row r="43">
      <c r="A43" s="638">
        <v>43448.57387111111</v>
      </c>
      <c r="B43" s="70" t="s">
        <v>466</v>
      </c>
      <c r="C43" s="70" t="s">
        <v>467</v>
      </c>
      <c r="D43" s="70" t="s">
        <v>468</v>
      </c>
      <c r="E43" s="666">
        <v>43451.0</v>
      </c>
      <c r="F43" s="70" t="s">
        <v>492</v>
      </c>
      <c r="G43" s="528" t="s">
        <v>1458</v>
      </c>
      <c r="H43" s="70" t="s">
        <v>1265</v>
      </c>
      <c r="I43" s="70" t="s">
        <v>1456</v>
      </c>
      <c r="J43" s="541" t="s">
        <v>536</v>
      </c>
      <c r="K43" s="689"/>
      <c r="L43" s="656" t="s">
        <v>1458</v>
      </c>
      <c r="M43" s="70" t="s">
        <v>1171</v>
      </c>
      <c r="N43" s="70" t="s">
        <v>1467</v>
      </c>
      <c r="O43" s="70"/>
    </row>
    <row r="44">
      <c r="A44" s="638"/>
      <c r="B44" s="70"/>
      <c r="C44" s="70"/>
      <c r="D44" s="70"/>
      <c r="E44" s="666">
        <v>43453.0</v>
      </c>
      <c r="F44" s="70" t="s">
        <v>1468</v>
      </c>
      <c r="G44" s="528" t="str">
        <f t="shared" ref="G44:G45" si="3">HYPERLINK("https://www.surveygizmo.com/s3/2325967/SPOC-PD-Registration","Register Here")</f>
        <v>Register Here</v>
      </c>
      <c r="H44" s="70" t="s">
        <v>232</v>
      </c>
      <c r="I44" s="70" t="s">
        <v>226</v>
      </c>
      <c r="J44" s="541" t="s">
        <v>116</v>
      </c>
      <c r="K44" s="70" t="s">
        <v>219</v>
      </c>
      <c r="L44" s="554" t="str">
        <f t="shared" ref="L44:L45" si="4">HYPERLINK("https://drive.google.com/open?id=16rMmVYxkbDNBGVYNyzpHCx-A-n4TUprP","SPOC Meet-up")</f>
        <v>SPOC Meet-up</v>
      </c>
      <c r="M44" s="545" t="s">
        <v>221</v>
      </c>
      <c r="N44" s="70" t="s">
        <v>222</v>
      </c>
      <c r="O44" s="70"/>
    </row>
    <row r="45">
      <c r="A45" s="638"/>
      <c r="B45" s="70"/>
      <c r="C45" s="70"/>
      <c r="D45" s="70"/>
      <c r="E45" s="666">
        <v>43453.0</v>
      </c>
      <c r="F45" s="70" t="s">
        <v>1448</v>
      </c>
      <c r="G45" s="528" t="str">
        <f t="shared" si="3"/>
        <v>Register Here</v>
      </c>
      <c r="H45" s="70" t="s">
        <v>1449</v>
      </c>
      <c r="I45" s="70" t="s">
        <v>226</v>
      </c>
      <c r="J45" s="541" t="s">
        <v>116</v>
      </c>
      <c r="K45" s="70" t="s">
        <v>219</v>
      </c>
      <c r="L45" s="554" t="str">
        <f t="shared" si="4"/>
        <v>SPOC Meet-up</v>
      </c>
      <c r="M45" s="545" t="s">
        <v>221</v>
      </c>
      <c r="N45" s="70" t="s">
        <v>222</v>
      </c>
      <c r="O45" s="70"/>
    </row>
    <row r="46">
      <c r="A46" s="638">
        <v>43349.539198784725</v>
      </c>
      <c r="B46" s="70" t="s">
        <v>466</v>
      </c>
      <c r="C46" s="70" t="s">
        <v>467</v>
      </c>
      <c r="D46" s="70" t="s">
        <v>468</v>
      </c>
      <c r="E46" s="666">
        <v>43453.0</v>
      </c>
      <c r="F46" s="70" t="s">
        <v>1291</v>
      </c>
      <c r="G46" s="528" t="str">
        <f>HYPERLINK("https://events.apple.com/content/events/us_education/us/en/k12ipadnycdoe-land.html?token=1HwfPgJr5Ai_ZQITNHLDL9hEfuV010MnYwmU6VPldDNVK4Uz9-7hfHahtdxgG550xTrGsmKx_STIVOFC75dgCDKFahHKeM7SrZ9m4sQ3X6_kk7xmfrQQTrfmQ8oBm1sP&amp;a=1&amp;l=e","Register Here")</f>
        <v>Register Here</v>
      </c>
      <c r="H46" s="70" t="s">
        <v>1293</v>
      </c>
      <c r="I46" s="70" t="s">
        <v>1475</v>
      </c>
      <c r="J46" s="541" t="s">
        <v>472</v>
      </c>
      <c r="K46" s="70" t="s">
        <v>1223</v>
      </c>
      <c r="L46" s="554" t="str">
        <f>HYPERLINK("https://events.apple.com/content/events/us_education/us/en/k12ipadnycdoe-land.html?token=1HwfPgJr5Ai_ZQITNHLDL9hEfuV010MnYwmU6VPldDNVK4Uz9-7hfHahtdxgG550xTrGsmKx_STIVOFC75dgCDKFahHKeM7SrZ9m4sQ3X6_kk7xmfrQQTrfmQ8oBm1sP&amp;a=1&amp;l=e","Deploying iOS in the NYCDOE")</f>
        <v>Deploying iOS in the NYCDOE</v>
      </c>
      <c r="M46" s="545" t="s">
        <v>280</v>
      </c>
      <c r="N46" s="70" t="s">
        <v>1226</v>
      </c>
      <c r="O46" s="70"/>
    </row>
    <row r="47">
      <c r="A47" s="638">
        <v>43349.53698966435</v>
      </c>
      <c r="B47" s="70" t="s">
        <v>466</v>
      </c>
      <c r="C47" s="70" t="s">
        <v>467</v>
      </c>
      <c r="D47" s="70" t="s">
        <v>468</v>
      </c>
      <c r="E47" s="666">
        <v>43453.0</v>
      </c>
      <c r="F47" s="70" t="s">
        <v>1228</v>
      </c>
      <c r="G47" s="528" t="str">
        <f>HYPERLINK("https://events.apple.com/content/events/us_education/us/en/k12macnycdoe-land.html?token=1HwfPgJr5Ai_ZQITNHLDL6yIX54WwWNVXQ2vH-9fasTNgikgonvUYGEfWPNFuLDoegA6ldGj1slFjqeLt7Ordne87o3jO2adbhpGCK4tk107qiB6Jtrmgq7FPdzKwjrf&amp;a=1&amp;l=e","Register Here")</f>
        <v>Register Here</v>
      </c>
      <c r="H47" s="70" t="s">
        <v>1293</v>
      </c>
      <c r="I47" s="70" t="s">
        <v>1478</v>
      </c>
      <c r="J47" s="541" t="s">
        <v>472</v>
      </c>
      <c r="K47" s="70" t="s">
        <v>1223</v>
      </c>
      <c r="L47" s="554" t="str">
        <f>HYPERLINK("https://events.apple.com/content/events/us_education/us/en/k12macnycdoe-land.html?token=1HwfPgJr5Ai_ZQITNHLDL6yIX54WwWNVXQ2vH-9fasTNgikgonvUYGEfWPNFuLDoegA6ldGj1slFjqeLt7Ordne87o3jO2adbhpGCK4tk107qiB6Jtrmgq7FPdzKwjrf&amp;a=1&amp;l=e","Deploying Mac in the NYCDOE")</f>
        <v>Deploying Mac in the NYCDOE</v>
      </c>
      <c r="M47" s="545" t="s">
        <v>280</v>
      </c>
      <c r="N47" s="70" t="s">
        <v>1236</v>
      </c>
      <c r="O47" s="70"/>
    </row>
    <row r="48">
      <c r="A48" s="638">
        <v>43437.550859849536</v>
      </c>
      <c r="B48" s="70" t="s">
        <v>1479</v>
      </c>
      <c r="C48" s="70" t="s">
        <v>1480</v>
      </c>
      <c r="D48" s="70" t="s">
        <v>1481</v>
      </c>
      <c r="E48" s="666">
        <v>43460.0</v>
      </c>
      <c r="F48" s="70" t="s">
        <v>1482</v>
      </c>
      <c r="G48" s="528" t="str">
        <f>HYPERLINK("https://docs.google.com/forms/d/e/1FAIpQLSflp99h3lszF4Y16C-mbEuxDe8F1OxNZx9qXfHrPjEUOJsWIA/viewform?entry.1163406176=I006-Intro+to+3D+Printing+for+School+Techs+and+SPOCs","Register here")</f>
        <v>Register here</v>
      </c>
      <c r="H48" s="70" t="s">
        <v>1483</v>
      </c>
      <c r="I48" s="70" t="s">
        <v>1484</v>
      </c>
      <c r="J48" s="541" t="s">
        <v>1485</v>
      </c>
      <c r="K48" s="70" t="s">
        <v>1486</v>
      </c>
      <c r="L48" s="554" t="str">
        <f>HYPERLINK("https://docs.google.com/document/d/1Cnmo1BQfXYaJH5ZN7AJv2JfXG01X1BZ5y_AMcSqbpIo/edit?usp=sharing","Intro to 3D Printing for School Techs and SPOCs")</f>
        <v>Intro to 3D Printing for School Techs and SPOCs</v>
      </c>
      <c r="M48" s="70" t="s">
        <v>221</v>
      </c>
      <c r="N48" s="70" t="s">
        <v>1487</v>
      </c>
      <c r="O48" s="70"/>
    </row>
    <row r="49">
      <c r="A49" s="638">
        <v>43437.54908409722</v>
      </c>
      <c r="B49" s="70" t="s">
        <v>1479</v>
      </c>
      <c r="C49" s="70" t="s">
        <v>1480</v>
      </c>
      <c r="D49" s="70" t="s">
        <v>1488</v>
      </c>
      <c r="E49" s="666">
        <v>43461.0</v>
      </c>
      <c r="F49" s="70" t="s">
        <v>1489</v>
      </c>
      <c r="G49" s="528" t="str">
        <f>HYPERLINK("https://docs.google.com/forms/d/e/1FAIpQLSflp99h3lszF4Y16C-mbEuxDe8F1OxNZx9qXfHrPjEUOJsWIA/viewform?entry.1163406176=I005-Maker+Ed+Edcamp+-+Teacher+Registration","Register here")</f>
        <v>Register here</v>
      </c>
      <c r="H49" s="70" t="s">
        <v>1490</v>
      </c>
      <c r="I49" s="70" t="s">
        <v>1491</v>
      </c>
      <c r="J49" s="541" t="s">
        <v>1485</v>
      </c>
      <c r="K49" s="70" t="s">
        <v>1492</v>
      </c>
      <c r="L49" s="554" t="str">
        <f>HYPERLINK("https://docs.google.com/document/d/14tsdBpSl3qKCkPj1K-ORZw0GvyhDu4RN5G-ifiLi5_Y/edit?usp=sharing","Maker Ed Edcamp")</f>
        <v>Maker Ed Edcamp</v>
      </c>
      <c r="M49" s="70" t="s">
        <v>221</v>
      </c>
      <c r="N49" s="70" t="s">
        <v>1493</v>
      </c>
      <c r="O49" s="70"/>
    </row>
    <row r="50">
      <c r="A50" s="638">
        <v>43448.57925888889</v>
      </c>
      <c r="B50" s="70" t="s">
        <v>466</v>
      </c>
      <c r="C50" s="70" t="s">
        <v>467</v>
      </c>
      <c r="D50" s="70" t="s">
        <v>468</v>
      </c>
      <c r="E50" s="666">
        <v>43473.0</v>
      </c>
      <c r="F50" s="70" t="s">
        <v>1494</v>
      </c>
      <c r="G50" s="528" t="str">
        <f>HYPERLINK("https://events.apple.com/content/events/us_education/us/en/access-abilities---land/access-abilities---rgst.html?token=pvYSnTquslJK-iAXLSBdlxzGYuEi0M2WrHfbMV8gQjEauMRzELZp4QwSkGY7xfPQIm4BtDV9jkjo3cBA3ZKdhMvmyHYJRlcxFi3gBvo0gSVqF8II9ZhvODV5mj2lkmD6&amp;a=1&amp;l=r","Register Here")</f>
        <v>Register Here</v>
      </c>
      <c r="H50" s="70" t="s">
        <v>1265</v>
      </c>
      <c r="I50" s="70" t="s">
        <v>1456</v>
      </c>
      <c r="J50" s="541" t="s">
        <v>1267</v>
      </c>
      <c r="K50" s="70" t="s">
        <v>1024</v>
      </c>
      <c r="L50" s="554" t="str">
        <f>HYPERLINK("https://events.apple.com/content/events/us_education/us/en/access-abilities---land/access-abilities---rgst.html?token=pvYSnTquslJK-iAXLSBdlxzGYuEi0M2WrHfbMV8gQjEauMRzELZp4QwSkGY7xfPQIm4BtDV9jkjo3cBA3ZKdhMvmyHYJRlcxFi3gBvo0gSVqF8II9ZhvODV5mj2lkmD6&amp;a=1&amp;l=r","Access Abilities")</f>
        <v>Access Abilities</v>
      </c>
      <c r="M50" s="545"/>
      <c r="N50" s="70" t="s">
        <v>1495</v>
      </c>
      <c r="O50" s="223" t="s">
        <v>428</v>
      </c>
    </row>
    <row r="51">
      <c r="A51" s="659"/>
      <c r="B51" s="541"/>
      <c r="C51" s="541"/>
      <c r="D51" s="541"/>
      <c r="E51" s="666">
        <v>43474.0</v>
      </c>
      <c r="F51" s="541" t="s">
        <v>1496</v>
      </c>
      <c r="G51" s="723" t="str">
        <f>HYPERLINK("https://nycdoe.sharepoint.com/sites/spocs/SitePages/Apple-After-Hours.aspx","Register Here")</f>
        <v>Register Here</v>
      </c>
      <c r="H51" s="376" t="s">
        <v>1497</v>
      </c>
      <c r="I51" s="376" t="s">
        <v>996</v>
      </c>
      <c r="J51" s="541" t="s">
        <v>1498</v>
      </c>
      <c r="K51" s="70" t="s">
        <v>295</v>
      </c>
      <c r="L51" s="374"/>
      <c r="M51" s="545" t="s">
        <v>221</v>
      </c>
      <c r="N51" s="541" t="s">
        <v>1499</v>
      </c>
      <c r="O51" s="541"/>
    </row>
    <row r="52">
      <c r="A52" s="659"/>
      <c r="B52" s="541" t="s">
        <v>1248</v>
      </c>
      <c r="C52" s="541" t="s">
        <v>1032</v>
      </c>
      <c r="D52" s="541" t="s">
        <v>1249</v>
      </c>
      <c r="E52" s="666">
        <v>43480.0</v>
      </c>
      <c r="F52" s="541" t="s">
        <v>1316</v>
      </c>
      <c r="G52" s="723" t="str">
        <f>HYPERLINK("https://docs.google.com/forms/d/e/1FAIpQLSf26uQ_y2bftX9xCmIviTt4vFk2gsmZSro9nlioarNBl8r3FA/viewform","Register Here")</f>
        <v>Register Here</v>
      </c>
      <c r="H52" s="376" t="s">
        <v>735</v>
      </c>
      <c r="I52" s="376" t="s">
        <v>539</v>
      </c>
      <c r="J52" s="541" t="s">
        <v>1251</v>
      </c>
      <c r="K52" s="70" t="s">
        <v>1317</v>
      </c>
      <c r="L52" s="378" t="str">
        <f>HYPERLINK("https://docs.google.com/document/d/1bCC1Nf76Uq5rcS1zTEe8fT25uvcb_yTOAYFpHQh8XkA/edit","Intro to G Suite Admin Console")</f>
        <v>Intro to G Suite Admin Console</v>
      </c>
      <c r="M52" s="545" t="s">
        <v>221</v>
      </c>
      <c r="N52" s="541" t="s">
        <v>1318</v>
      </c>
      <c r="O52" s="541"/>
    </row>
    <row r="53">
      <c r="A53" s="638"/>
      <c r="B53" s="70"/>
      <c r="C53" s="70"/>
      <c r="D53" s="70"/>
      <c r="E53" s="666">
        <v>43488.0</v>
      </c>
      <c r="F53" s="70" t="s">
        <v>1448</v>
      </c>
      <c r="G53" s="528" t="str">
        <f t="shared" ref="G53:G54" si="5">HYPERLINK("https://www.surveygizmo.com/s3/2325967/SPOC-PD-Registration","Register Here")</f>
        <v>Register Here</v>
      </c>
      <c r="H53" s="70" t="s">
        <v>1449</v>
      </c>
      <c r="I53" s="70" t="s">
        <v>226</v>
      </c>
      <c r="J53" s="541" t="s">
        <v>116</v>
      </c>
      <c r="K53" s="70" t="s">
        <v>219</v>
      </c>
      <c r="L53" s="554" t="str">
        <f>HYPERLINK("https://drive.google.com/open?id=16rMmVYxkbDNBGVYNyzpHCx-A-n4TUprP","SPOC Meet-up")</f>
        <v>SPOC Meet-up</v>
      </c>
      <c r="M53" s="545" t="s">
        <v>221</v>
      </c>
      <c r="N53" s="70" t="s">
        <v>222</v>
      </c>
      <c r="O53" s="70"/>
    </row>
    <row r="54">
      <c r="A54" s="638"/>
      <c r="B54" s="70"/>
      <c r="C54" s="70"/>
      <c r="D54" s="70"/>
      <c r="E54" s="666">
        <v>43490.0</v>
      </c>
      <c r="F54" s="70" t="s">
        <v>1513</v>
      </c>
      <c r="G54" s="528" t="str">
        <f t="shared" si="5"/>
        <v>Register Here</v>
      </c>
      <c r="H54" s="70" t="s">
        <v>1514</v>
      </c>
      <c r="I54" s="70" t="s">
        <v>539</v>
      </c>
      <c r="J54" s="541" t="s">
        <v>116</v>
      </c>
      <c r="K54" s="70" t="s">
        <v>1223</v>
      </c>
      <c r="L54" s="554" t="str">
        <f>HYPERLINK("https://drive.google.com/file/d/1DiTgHXzXbgeJfPCSfbyvm1CfWmL0P-8j/view?usp=sharing","Modern Day Classroom Technology")</f>
        <v>Modern Day Classroom Technology</v>
      </c>
      <c r="M54" s="545" t="s">
        <v>221</v>
      </c>
      <c r="N54" s="70" t="s">
        <v>1518</v>
      </c>
      <c r="O54" s="70"/>
    </row>
    <row r="55" ht="116.25" customHeight="1">
      <c r="A55" s="638">
        <v>43349.60242787037</v>
      </c>
      <c r="B55" s="70" t="s">
        <v>466</v>
      </c>
      <c r="C55" s="70" t="s">
        <v>467</v>
      </c>
      <c r="D55" s="70" t="s">
        <v>468</v>
      </c>
      <c r="E55" s="666">
        <v>43490.0</v>
      </c>
      <c r="F55" s="70" t="s">
        <v>1291</v>
      </c>
      <c r="G55" s="528" t="str">
        <f>HYPERLINK("https://events.apple.com/content/events/us_education/us/en/k12ipadnycdoe-land.html?token=bg7jR2aSBfCSnbXE24Ph8af_wQWVfyrUXDYrP-EY1tWy_mEabtPw6m9I6gsQ2IfoDO7W-wH9QzVB9KqTN7hVNYvajjc8qw0fmWs4sakNy7EVJIrPGPRw6yjiXpQMmWxd&amp;a=1&amp;l=e","Register Here")</f>
        <v>Register Here</v>
      </c>
      <c r="H55" s="70" t="s">
        <v>1293</v>
      </c>
      <c r="I55" s="70" t="s">
        <v>1425</v>
      </c>
      <c r="J55" s="541" t="s">
        <v>1267</v>
      </c>
      <c r="K55" s="70" t="s">
        <v>1223</v>
      </c>
      <c r="L55" s="554" t="str">
        <f>HYPERLINK("https://events.apple.com/content/events/us_education/us/en/k12ipadnycdoe-land.html?token=bg7jR2aSBfCSnbXE24Ph8af_wQWVfyrUXDYrP-EY1tWy_mEabtPw6m9I6gsQ2IfoDO7W-wH9QzVB9KqTN7hVNYvajjc8qw0fmWs4sakNy7EVJIrPGPRw6yjiXpQMmWxd&amp;a=1&amp;l=e","Deploying iOS in the NYCDOE")</f>
        <v>Deploying iOS in the NYCDOE</v>
      </c>
      <c r="M55" s="545" t="s">
        <v>280</v>
      </c>
      <c r="N55" s="70" t="s">
        <v>1226</v>
      </c>
      <c r="O55" s="70"/>
    </row>
    <row r="56">
      <c r="A56" s="638">
        <v>43349.60071195602</v>
      </c>
      <c r="B56" s="70" t="s">
        <v>466</v>
      </c>
      <c r="C56" s="70" t="s">
        <v>467</v>
      </c>
      <c r="D56" s="70" t="s">
        <v>468</v>
      </c>
      <c r="E56" s="666">
        <v>43490.0</v>
      </c>
      <c r="F56" s="70" t="s">
        <v>1228</v>
      </c>
      <c r="G56" s="528" t="str">
        <f>HYPERLINK("https://events.apple.com/content/events/us_education/us/en/k12macnycdoe-land.html?token=QjKAKK5_NwITK-PZn_gMRd3bsKXOPOk93jQywVrVNAX1wAsRHOPgUYM0lkobYYCmjMXevf5LlPT4hufnoHTYNTBgDmo3MtBeKK4qWpYMC8CX8BPBBjZSGwKjFB_MBDTZ&amp;a=1&amp;l=e","Register Here")</f>
        <v>Register Here</v>
      </c>
      <c r="H56" s="70" t="s">
        <v>1293</v>
      </c>
      <c r="I56" s="70" t="s">
        <v>471</v>
      </c>
      <c r="J56" s="541" t="s">
        <v>472</v>
      </c>
      <c r="K56" s="70" t="s">
        <v>1223</v>
      </c>
      <c r="L56" s="554" t="str">
        <f>HYPERLINK("https://events.apple.com/content/events/us_education/us/en/k12macnycdoe-land.html?token=QjKAKK5_NwITK-PZn_gMRd3bsKXOPOk93jQywVrVNAX1wAsRHOPgUYM0lkobYYCmjMXevf5LlPT4hufnoHTYNTBgDmo3MtBeKK4qWpYMC8CX8BPBBjZSGwKjFB_MBDTZ&amp;a=1&amp;l=e","Deploying MAC in the NYCDOE")</f>
        <v>Deploying MAC in the NYCDOE</v>
      </c>
      <c r="M56" s="545" t="s">
        <v>280</v>
      </c>
      <c r="N56" s="70" t="s">
        <v>1236</v>
      </c>
      <c r="O56" s="70"/>
    </row>
    <row r="57">
      <c r="A57" s="638"/>
      <c r="B57" s="230" t="s">
        <v>466</v>
      </c>
      <c r="C57" s="230" t="s">
        <v>467</v>
      </c>
      <c r="D57" s="216" t="s">
        <v>468</v>
      </c>
      <c r="E57" s="749">
        <v>43493.0</v>
      </c>
      <c r="F57" s="750" t="s">
        <v>1379</v>
      </c>
      <c r="G57" s="752" t="str">
        <f>HYPERLINK("http://s.apple.com/dE0c9U2o6w","Register Here")</f>
        <v>Register Here</v>
      </c>
      <c r="H57" s="220" t="s">
        <v>470</v>
      </c>
      <c r="I57" s="220" t="s">
        <v>1526</v>
      </c>
      <c r="J57" s="215" t="s">
        <v>472</v>
      </c>
      <c r="K57" s="232" t="s">
        <v>1527</v>
      </c>
      <c r="L57" s="753" t="str">
        <f>HYPERLINK("http://s.apple.com/dE0c9U2o6w","Getting Started Managing Macs")</f>
        <v>Getting Started Managing Macs</v>
      </c>
      <c r="M57" s="230" t="s">
        <v>280</v>
      </c>
      <c r="N57" s="565" t="s">
        <v>1528</v>
      </c>
      <c r="O57" s="565"/>
    </row>
    <row r="58">
      <c r="A58" s="638"/>
      <c r="B58" s="70"/>
      <c r="C58" s="70"/>
      <c r="D58" s="70"/>
      <c r="E58" s="671">
        <v>43518.0</v>
      </c>
      <c r="F58" s="70" t="s">
        <v>1228</v>
      </c>
      <c r="G58" s="559" t="s">
        <v>1529</v>
      </c>
      <c r="H58" s="70" t="s">
        <v>1221</v>
      </c>
      <c r="I58" s="70" t="s">
        <v>471</v>
      </c>
      <c r="J58" s="541" t="s">
        <v>472</v>
      </c>
      <c r="K58" s="70" t="s">
        <v>1223</v>
      </c>
      <c r="L58" s="559" t="str">
        <f>HYPERLINK("http://s.apple.com/dE0z0J6d8B","Deploying Mac in the NYCDOE")</f>
        <v>Deploying Mac in the NYCDOE</v>
      </c>
      <c r="M58" s="545" t="s">
        <v>280</v>
      </c>
      <c r="N58" s="70" t="s">
        <v>1530</v>
      </c>
      <c r="O58" s="70"/>
    </row>
    <row r="59">
      <c r="A59" s="638"/>
      <c r="B59" s="70"/>
      <c r="C59" s="70"/>
      <c r="D59" s="70"/>
      <c r="E59" s="671">
        <v>43518.0</v>
      </c>
      <c r="F59" s="70" t="s">
        <v>1291</v>
      </c>
      <c r="G59" s="559" t="s">
        <v>1529</v>
      </c>
      <c r="H59" s="70" t="s">
        <v>1221</v>
      </c>
      <c r="I59" s="70" t="s">
        <v>1425</v>
      </c>
      <c r="J59" s="541" t="s">
        <v>472</v>
      </c>
      <c r="K59" s="70" t="s">
        <v>1223</v>
      </c>
      <c r="L59" s="559" t="str">
        <f>HYPERLINK("http://s.apple.com/dE4B4o4M5t","Deploying iOS in the NYCDOE")</f>
        <v>Deploying iOS in the NYCDOE</v>
      </c>
      <c r="M59" s="545" t="s">
        <v>221</v>
      </c>
      <c r="N59" s="70" t="s">
        <v>1531</v>
      </c>
      <c r="O59" s="70"/>
    </row>
    <row r="60">
      <c r="A60" s="638">
        <v>43448.57687950232</v>
      </c>
      <c r="B60" s="70" t="s">
        <v>466</v>
      </c>
      <c r="C60" s="70" t="s">
        <v>467</v>
      </c>
      <c r="D60" s="70" t="s">
        <v>468</v>
      </c>
      <c r="E60" s="666">
        <v>43502.0</v>
      </c>
      <c r="F60" s="70" t="s">
        <v>513</v>
      </c>
      <c r="G60" s="528" t="str">
        <f>HYPERLINK("https://events.apple.com/content/events/us_education/us/en/everyone-can-create---land/everyone-can-create---rgst.html?token=E0J3V8A59tzoBcWGh6CMfNi_idsv8gwakyp0mJK6WKedWYVMV0Nq7r_8TR3h2Bnz1SjIaLmXgT2hOCpAxyJUElMaH6BXsJfEeC-FkTu_GpRCCpbEfFU6j2cVjzm4I5Hk&amp;a="&amp;"1&amp;l=r","Register Here")</f>
        <v>Register Here</v>
      </c>
      <c r="H60" s="70" t="s">
        <v>1265</v>
      </c>
      <c r="I60" s="70" t="s">
        <v>1456</v>
      </c>
      <c r="J60" s="541" t="s">
        <v>472</v>
      </c>
      <c r="K60" s="689"/>
      <c r="L60" s="554" t="str">
        <f>HYPERLINK("https://events.apple.com/content/events/us_education/us/en/everyone-can-create---land/everyone-can-create---rgst.html?token=E0J3V8A59tzoBcWGh6CMfNi_idsv8gwakyp0mJK6WKedWYVMV0Nq7r_8TR3h2Bnz1SjIaLmXgT2hOCpAxyJUElMaH6BXsJfEeC-FkTu_GpRCCpbEfFU6j2cVjzm4I5Hk&amp;a="&amp;"1&amp;l=r","Everyone Can Create")</f>
        <v>Everyone Can Create</v>
      </c>
      <c r="M60" s="545" t="s">
        <v>1171</v>
      </c>
      <c r="N60" s="70" t="s">
        <v>1533</v>
      </c>
      <c r="O60" s="70"/>
    </row>
    <row r="61">
      <c r="A61" s="638"/>
      <c r="B61" s="70"/>
      <c r="C61" s="70"/>
      <c r="D61" s="70"/>
      <c r="E61" s="666">
        <v>43504.0</v>
      </c>
      <c r="F61" s="70" t="s">
        <v>1534</v>
      </c>
      <c r="G61" s="528" t="str">
        <f>HYPERLINK("https://docs.google.com/forms/d/e/1FAIpQLSf26uQ_y2bftX9xCmIviTt4vFk2gsmZSro9nlioarNBl8r3FA/viewform","Register Here")</f>
        <v>Register Here</v>
      </c>
      <c r="H61" s="376" t="s">
        <v>735</v>
      </c>
      <c r="I61" s="376" t="s">
        <v>1018</v>
      </c>
      <c r="J61" s="759" t="s">
        <v>1535</v>
      </c>
      <c r="K61" s="70" t="s">
        <v>1317</v>
      </c>
      <c r="L61" s="760"/>
      <c r="M61" s="545" t="s">
        <v>221</v>
      </c>
      <c r="N61" s="70" t="s">
        <v>1536</v>
      </c>
      <c r="O61" s="70"/>
    </row>
    <row r="62">
      <c r="A62" s="638"/>
      <c r="B62" s="70"/>
      <c r="C62" s="70"/>
      <c r="D62" s="70"/>
      <c r="E62" s="666">
        <v>43508.0</v>
      </c>
      <c r="F62" s="70" t="s">
        <v>1448</v>
      </c>
      <c r="G62" s="528" t="str">
        <f>HYPERLINK("https://www.surveygizmo.com/s3/2325967/SPOC-PD-Registration","Register Here")</f>
        <v>Register Here</v>
      </c>
      <c r="H62" s="70" t="s">
        <v>1449</v>
      </c>
      <c r="I62" s="70" t="s">
        <v>226</v>
      </c>
      <c r="J62" s="541" t="s">
        <v>116</v>
      </c>
      <c r="K62" s="70" t="s">
        <v>219</v>
      </c>
      <c r="L62" s="554" t="str">
        <f>HYPERLINK("https://drive.google.com/open?id=16rMmVYxkbDNBGVYNyzpHCx-A-n4TUprP","SPOC Meet-up")</f>
        <v>SPOC Meet-up</v>
      </c>
      <c r="M62" s="545" t="s">
        <v>221</v>
      </c>
      <c r="N62" s="70" t="s">
        <v>222</v>
      </c>
      <c r="O62" s="70"/>
    </row>
    <row r="63">
      <c r="A63" s="761"/>
      <c r="B63" s="539"/>
      <c r="C63" s="539"/>
      <c r="D63" s="539"/>
      <c r="E63" s="762">
        <v>43522.0</v>
      </c>
      <c r="F63" s="565" t="s">
        <v>1538</v>
      </c>
      <c r="G63" s="763" t="str">
        <f>HYPERLINK("http://s.apple.com/dE4B7C4H3g","Register Here")</f>
        <v>Register Here</v>
      </c>
      <c r="H63" s="565" t="s">
        <v>470</v>
      </c>
      <c r="I63" s="565" t="s">
        <v>471</v>
      </c>
      <c r="J63" s="232" t="s">
        <v>472</v>
      </c>
      <c r="K63" s="565" t="s">
        <v>1539</v>
      </c>
      <c r="L63" s="228" t="str">
        <f>HYPERLINK("http://s.apple.com/dE0z0J6d8B","Deploying Mac in the NYC DOE")</f>
        <v>Deploying Mac in the NYC DOE</v>
      </c>
      <c r="M63" s="237" t="s">
        <v>280</v>
      </c>
      <c r="N63" s="589" t="s">
        <v>1540</v>
      </c>
      <c r="O63" s="589"/>
    </row>
    <row r="64">
      <c r="A64" s="761"/>
      <c r="B64" s="539"/>
      <c r="C64" s="539"/>
      <c r="D64" s="539"/>
      <c r="E64" s="762">
        <v>43522.0</v>
      </c>
      <c r="F64" s="565" t="s">
        <v>1541</v>
      </c>
      <c r="G64" s="763" t="str">
        <f>HYPERLINK("http://s.apple.com/dE4W5p0R4i","Register Here")</f>
        <v>Register Here</v>
      </c>
      <c r="H64" s="565" t="s">
        <v>470</v>
      </c>
      <c r="I64" s="565" t="s">
        <v>1542</v>
      </c>
      <c r="J64" s="232" t="s">
        <v>472</v>
      </c>
      <c r="K64" s="565" t="s">
        <v>1539</v>
      </c>
      <c r="L64" s="228" t="str">
        <f>HYPERLINK("http://s.apple.com/dE4B4o4M5t","Deploying iOS in the NYC DOE")</f>
        <v>Deploying iOS in the NYC DOE</v>
      </c>
      <c r="M64" s="237" t="s">
        <v>280</v>
      </c>
      <c r="N64" s="589" t="s">
        <v>1543</v>
      </c>
      <c r="O64" s="589"/>
    </row>
    <row r="65">
      <c r="A65" s="761"/>
      <c r="B65" s="539"/>
      <c r="C65" s="539"/>
      <c r="D65" s="539"/>
      <c r="E65" s="762">
        <v>43521.0</v>
      </c>
      <c r="F65" s="565" t="s">
        <v>1379</v>
      </c>
      <c r="G65" s="763" t="s">
        <v>1206</v>
      </c>
      <c r="H65" s="565" t="s">
        <v>470</v>
      </c>
      <c r="I65" s="565" t="s">
        <v>1526</v>
      </c>
      <c r="J65" s="232" t="s">
        <v>472</v>
      </c>
      <c r="K65" s="565" t="s">
        <v>1527</v>
      </c>
      <c r="L65" s="229" t="s">
        <v>1379</v>
      </c>
      <c r="M65" s="237" t="s">
        <v>280</v>
      </c>
      <c r="N65" s="565" t="s">
        <v>1528</v>
      </c>
      <c r="O65" s="565"/>
    </row>
    <row r="66">
      <c r="A66" s="638"/>
      <c r="B66" s="539"/>
      <c r="C66" s="539"/>
      <c r="D66" s="539"/>
      <c r="E66" s="666">
        <v>43536.0</v>
      </c>
      <c r="F66" s="70" t="s">
        <v>1448</v>
      </c>
      <c r="G66" s="528" t="str">
        <f>HYPERLINK("https://www.surveygizmo.com/s3/2325967/SPOC-PD-Registration","Register Here")</f>
        <v>Register Here</v>
      </c>
      <c r="H66" s="70" t="s">
        <v>1449</v>
      </c>
      <c r="I66" s="70" t="s">
        <v>226</v>
      </c>
      <c r="J66" s="541" t="s">
        <v>116</v>
      </c>
      <c r="K66" s="70" t="s">
        <v>219</v>
      </c>
      <c r="L66" s="554" t="str">
        <f>HYPERLINK("https://drive.google.com/open?id=16rMmVYxkbDNBGVYNyzpHCx-A-n4TUprP","SPOC Meet-up")</f>
        <v>SPOC Meet-up</v>
      </c>
      <c r="M66" s="545" t="s">
        <v>221</v>
      </c>
      <c r="N66" s="70" t="s">
        <v>222</v>
      </c>
      <c r="O66" s="70"/>
    </row>
    <row r="67">
      <c r="A67" s="638">
        <v>43448.58211025463</v>
      </c>
      <c r="B67" s="70" t="s">
        <v>466</v>
      </c>
      <c r="C67" s="70" t="s">
        <v>467</v>
      </c>
      <c r="D67" s="70" t="s">
        <v>468</v>
      </c>
      <c r="E67" s="666">
        <v>43537.0</v>
      </c>
      <c r="F67" s="70" t="s">
        <v>492</v>
      </c>
      <c r="G67" s="528" t="str">
        <f>HYPERLINK("https://events.apple.com/content/events/us_education/us/en/k20-everyone-can-code-2018---land/k20-everyone-can-code-2018---rgst.html?token=RYcP14pdgIv0iiNT6kymhCjDzPIpXwNl70ql0-7_Ip9KDgLmEHVoR-ZZVYePCRvuMnhgZRgAwJ2HcDGPhRDHKv6n370UkjH2HvmMrLXcrghT665gGwWgn"&amp;"rqWu_k-VrRe&amp;a=1&amp;l=r","Register Here")</f>
        <v>Register Here</v>
      </c>
      <c r="H67" s="70" t="s">
        <v>1265</v>
      </c>
      <c r="I67" s="70" t="s">
        <v>1456</v>
      </c>
      <c r="J67" s="541" t="s">
        <v>472</v>
      </c>
      <c r="K67" s="70" t="s">
        <v>1223</v>
      </c>
      <c r="L67" s="554" t="str">
        <f>HYPERLINK("https://events.apple.com/content/events/us_education/us/en/k20-everyone-can-code-2018---land/k20-everyone-can-code-2018---rgst.html?token=RYcP14pdgIv0iiNT6kymhCjDzPIpXwNl70ql0-7_Ip9KDgLmEHVoR-ZZVYePCRvuMnhgZRgAwJ2HcDGPhRDHKv6n370UkjH2HvmMrLXcrghT665gGwWgn"&amp;"rqWu_k-VrRe&amp;a=1&amp;l=r","Everyone Can Code")</f>
        <v>Everyone Can Code</v>
      </c>
      <c r="M67" s="545" t="s">
        <v>1171</v>
      </c>
      <c r="N67" s="70" t="s">
        <v>1544</v>
      </c>
      <c r="O67" s="70"/>
    </row>
    <row r="68">
      <c r="A68" s="638"/>
      <c r="B68" s="237" t="s">
        <v>466</v>
      </c>
      <c r="C68" s="237" t="s">
        <v>467</v>
      </c>
      <c r="D68" s="785" t="s">
        <v>468</v>
      </c>
      <c r="E68" s="762">
        <v>43549.0</v>
      </c>
      <c r="F68" s="565" t="s">
        <v>1379</v>
      </c>
      <c r="G68" s="790" t="s">
        <v>1206</v>
      </c>
      <c r="H68" s="565" t="s">
        <v>470</v>
      </c>
      <c r="I68" s="565" t="s">
        <v>1526</v>
      </c>
      <c r="J68" s="232" t="s">
        <v>472</v>
      </c>
      <c r="K68" s="565" t="s">
        <v>1527</v>
      </c>
      <c r="L68" s="229" t="s">
        <v>1379</v>
      </c>
      <c r="M68" s="237" t="s">
        <v>280</v>
      </c>
      <c r="N68" s="565" t="s">
        <v>1528</v>
      </c>
      <c r="O68" s="565"/>
    </row>
    <row r="69">
      <c r="A69" s="761"/>
      <c r="B69" s="539"/>
      <c r="C69" s="539"/>
      <c r="D69" s="539"/>
      <c r="E69" s="666">
        <v>43551.0</v>
      </c>
      <c r="F69" s="70" t="s">
        <v>1545</v>
      </c>
      <c r="G69" s="528" t="str">
        <f t="shared" ref="G69:G70" si="6">HYPERLINK("https://www.surveygizmo.com/s3/2325967/SPOC-PD-Registration","Register Here")</f>
        <v>Register Here</v>
      </c>
      <c r="H69" s="70" t="s">
        <v>232</v>
      </c>
      <c r="I69" s="70" t="s">
        <v>226</v>
      </c>
      <c r="J69" s="70" t="s">
        <v>116</v>
      </c>
      <c r="K69" s="70" t="s">
        <v>219</v>
      </c>
      <c r="L69" s="554" t="str">
        <f>HYPERLINK("https://nycdoe-my.sharepoint.com/:w:/g/personal/nschepi_schools_nyc_gov/EWWSB3cjbYlBrFLUG1CxU8gBAWfRtpJuvyzA9SoAZmSPbg?e=tJnVX8","SPOC Meet-up")</f>
        <v>SPOC Meet-up</v>
      </c>
      <c r="M69" s="545" t="s">
        <v>221</v>
      </c>
      <c r="N69" s="70" t="s">
        <v>1546</v>
      </c>
      <c r="O69" s="70"/>
    </row>
    <row r="70">
      <c r="A70" s="761"/>
      <c r="B70" s="539"/>
      <c r="C70" s="539"/>
      <c r="D70" s="539"/>
      <c r="E70" s="666">
        <v>43552.0</v>
      </c>
      <c r="F70" s="70" t="s">
        <v>1407</v>
      </c>
      <c r="G70" s="528" t="str">
        <f t="shared" si="6"/>
        <v>Register Here</v>
      </c>
      <c r="H70" s="70" t="s">
        <v>1547</v>
      </c>
      <c r="I70" s="70" t="s">
        <v>226</v>
      </c>
      <c r="J70" s="70" t="s">
        <v>116</v>
      </c>
      <c r="K70" s="70" t="s">
        <v>219</v>
      </c>
      <c r="L70" s="554" t="str">
        <f>HYPERLINK("https://nycdoe.sharepoint.com/:w:/r/sites/BKLYNTeamSharePoint/_layouts/15/Doc.aspx?sourcedoc=%7B3d2445a8-9be8-49d5-ad08-6fb205437f3f%7D&amp;action=default&amp;cid=9f0c7f47-e11e-46ab-bdce-f9a8afed06f7","SPOC Meet-up")</f>
        <v>SPOC Meet-up</v>
      </c>
      <c r="M70" s="545" t="s">
        <v>221</v>
      </c>
      <c r="N70" s="70" t="s">
        <v>1548</v>
      </c>
      <c r="O70" s="70"/>
    </row>
    <row r="71">
      <c r="A71" s="761"/>
      <c r="B71" s="539" t="s">
        <v>1031</v>
      </c>
      <c r="C71" s="539" t="s">
        <v>1549</v>
      </c>
      <c r="D71" s="539" t="s">
        <v>1249</v>
      </c>
      <c r="E71" s="806">
        <v>43553.0</v>
      </c>
      <c r="F71" s="767" t="s">
        <v>1550</v>
      </c>
      <c r="G71" s="809" t="str">
        <f>HYPERLINK("https://docs.google.com/forms/d/e/1FAIpQLSf26uQ_y2bftX9xCmIviTt4vFk2gsmZSro9nlioarNBl8r3FA/viewform","Register Here")</f>
        <v>Register Here</v>
      </c>
      <c r="H71" s="811" t="s">
        <v>735</v>
      </c>
      <c r="I71" s="376" t="s">
        <v>1018</v>
      </c>
      <c r="J71" s="767" t="s">
        <v>1535</v>
      </c>
      <c r="K71" s="771" t="s">
        <v>1317</v>
      </c>
      <c r="L71" s="817" t="str">
        <f>HYPERLINK("https://docs.google.com/document/d/1bCC1Nf76Uq5rcS1zTEe8fT25uvcb_yTOAYFpHQh8XkA/edit","Intro to G Suite Admin Console")</f>
        <v>Intro to G Suite Admin Console</v>
      </c>
      <c r="M71" s="818" t="s">
        <v>221</v>
      </c>
      <c r="N71" s="771" t="s">
        <v>1318</v>
      </c>
      <c r="O71" s="406"/>
    </row>
    <row r="72">
      <c r="A72" s="638">
        <v>43349.6186271412</v>
      </c>
      <c r="B72" s="70" t="s">
        <v>466</v>
      </c>
      <c r="C72" s="70" t="s">
        <v>467</v>
      </c>
      <c r="D72" s="70" t="s">
        <v>468</v>
      </c>
      <c r="E72" s="666">
        <v>43553.0</v>
      </c>
      <c r="F72" s="70" t="s">
        <v>1291</v>
      </c>
      <c r="G72" s="528" t="str">
        <f>HYPERLINK("https://events.apple.com/content/events/us_education/us/en/k12ipadnycdoe-land.html?token=1HwfPgJr5Ai_ZQITNHLDL_v3aKs7yKQCa9DSzBZwzdXrzd9cOOnlTjn-od_KYsSrmXYMFhK1mF6AzQEp9jr-sk61DwaGJysC-PUeInc20NFmOHm_vi0GPQJA0_R49xI6&amp;a=1&amp;l=e","Register Here")</f>
        <v>Register Here</v>
      </c>
      <c r="H72" s="70" t="s">
        <v>1293</v>
      </c>
      <c r="I72" s="70" t="s">
        <v>1222</v>
      </c>
      <c r="J72" s="541" t="s">
        <v>536</v>
      </c>
      <c r="K72" s="70" t="s">
        <v>1223</v>
      </c>
      <c r="L72" s="554" t="str">
        <f>HYPERLINK("https://events.apple.com/content/events/us_education/us/en/k12ipadnycdoe-land.html?token=1HwfPgJr5Ai_ZQITNHLDL_v3aKs7yKQCa9DSzBZwzdXrzd9cOOnlTjn-od_KYsSrmXYMFhK1mF6AzQEp9jr-sk61DwaGJysC-PUeInc20NFmOHm_vi0GPQJA0_R49xI6&amp;a=1&amp;l=e","Deploying iOS in the NYCDOE")</f>
        <v>Deploying iOS in the NYCDOE</v>
      </c>
      <c r="M72" s="545" t="s">
        <v>280</v>
      </c>
      <c r="N72" s="70" t="s">
        <v>1226</v>
      </c>
      <c r="O72" s="70"/>
    </row>
    <row r="73">
      <c r="A73" s="638">
        <v>43349.6167546412</v>
      </c>
      <c r="B73" s="70" t="s">
        <v>466</v>
      </c>
      <c r="C73" s="70" t="s">
        <v>467</v>
      </c>
      <c r="D73" s="70" t="s">
        <v>468</v>
      </c>
      <c r="E73" s="666">
        <v>43553.0</v>
      </c>
      <c r="F73" s="70" t="s">
        <v>1228</v>
      </c>
      <c r="G73" s="528" t="str">
        <f>HYPERLINK("https://events.apple.com/content/events/us_education/us/en/k12macnycdoe-land.html?token=QjKAKK5_NwITK-PZn_gMRQGqpWHjebYOrqrsFo8qANAD8wFU3lwgEWFp0yrojkid79V6naKznAU4XAUdK45pyzNKMGbOHFZenwDkVsnf-MZFeNLnetroV_nKishCCZ7Z&amp;a=1&amp;l=e","Register Here")</f>
        <v>Register Here</v>
      </c>
      <c r="H73" s="70" t="s">
        <v>1293</v>
      </c>
      <c r="I73" s="70" t="s">
        <v>1552</v>
      </c>
      <c r="J73" s="541" t="s">
        <v>536</v>
      </c>
      <c r="K73" s="70" t="s">
        <v>1223</v>
      </c>
      <c r="L73" s="554" t="str">
        <f>HYPERLINK("https://events.apple.com/content/events/us_education/us/en/k12macnycdoe-land.html?token=QjKAKK5_NwITK-PZn_gMRQGqpWHjebYOrqrsFo8qANAD8wFU3lwgEWFp0yrojkid79V6naKznAU4XAUdK45pyzNKMGbOHFZenwDkVsnf-MZFeNLnetroV_nKishCCZ7Z&amp;a=1&amp;l=e","Deploying Mac in the NYCDOE")</f>
        <v>Deploying Mac in the NYCDOE</v>
      </c>
      <c r="M73" s="545" t="s">
        <v>280</v>
      </c>
      <c r="N73" s="70" t="s">
        <v>1236</v>
      </c>
      <c r="O73" s="70"/>
    </row>
    <row r="74">
      <c r="A74" s="638"/>
      <c r="B74" s="70"/>
      <c r="C74" s="70"/>
      <c r="D74" s="70"/>
      <c r="E74" s="666">
        <v>43556.0</v>
      </c>
      <c r="F74" s="70" t="s">
        <v>235</v>
      </c>
      <c r="G74" s="528" t="str">
        <f t="shared" ref="G74:G75" si="7">HYPERLINK("https://www.surveygizmo.com/s3/2325967/SPOC-PD-Registration","Register Here")</f>
        <v>Register Here</v>
      </c>
      <c r="H74" s="70" t="s">
        <v>237</v>
      </c>
      <c r="I74" s="70" t="s">
        <v>226</v>
      </c>
      <c r="J74" s="70" t="s">
        <v>116</v>
      </c>
      <c r="K74" s="70" t="s">
        <v>219</v>
      </c>
      <c r="L74" s="554" t="str">
        <f>HYPERLINK("https://drive.google.com/file/d/1COiichktzsPQAIYQ4eC9G1qXZzWNxXti/view?usp=sharing","SPOC Meet-up")</f>
        <v>SPOC Meet-up</v>
      </c>
      <c r="M74" s="545" t="s">
        <v>221</v>
      </c>
      <c r="N74" s="70" t="s">
        <v>222</v>
      </c>
      <c r="O74" s="70"/>
    </row>
    <row r="75">
      <c r="A75" s="819"/>
      <c r="B75" s="820"/>
      <c r="C75" s="820"/>
      <c r="D75" s="821"/>
      <c r="E75" s="666">
        <v>43563.0</v>
      </c>
      <c r="F75" s="70" t="s">
        <v>1556</v>
      </c>
      <c r="G75" s="528" t="str">
        <f t="shared" si="7"/>
        <v>Register Here</v>
      </c>
      <c r="H75" s="70" t="s">
        <v>1029</v>
      </c>
      <c r="I75" s="70" t="s">
        <v>226</v>
      </c>
      <c r="J75" s="541" t="s">
        <v>116</v>
      </c>
      <c r="K75" s="70" t="s">
        <v>219</v>
      </c>
      <c r="L75" s="554" t="str">
        <f>HYPERLINK("https://drive.google.com/file/d/1fsjYogim1o0EPUGOLXAyG3bEt_4oA74p/view?usp=sharing","SPOC Meet-up")</f>
        <v>SPOC Meet-up</v>
      </c>
      <c r="M75" s="545" t="s">
        <v>221</v>
      </c>
      <c r="N75" s="70" t="s">
        <v>1557</v>
      </c>
      <c r="O75" s="70"/>
    </row>
    <row r="76">
      <c r="A76" s="822"/>
      <c r="B76" s="823" t="s">
        <v>466</v>
      </c>
      <c r="C76" s="824" t="s">
        <v>467</v>
      </c>
      <c r="D76" s="825" t="s">
        <v>468</v>
      </c>
      <c r="E76" s="749">
        <v>43572.0</v>
      </c>
      <c r="F76" s="565" t="s">
        <v>469</v>
      </c>
      <c r="G76" s="826" t="str">
        <f>HYPERLINK("http://tinyurl.com/yxtd6kcy","Register Here")</f>
        <v>Register Here</v>
      </c>
      <c r="H76" s="220" t="s">
        <v>470</v>
      </c>
      <c r="I76" s="220" t="s">
        <v>471</v>
      </c>
      <c r="J76" s="215" t="s">
        <v>472</v>
      </c>
      <c r="K76" s="827" t="s">
        <v>1558</v>
      </c>
      <c r="L76" s="828" t="str">
        <f>HYPERLINK("http://tinyurl.com/yxtd6kcy","Access Abilities: Designing for All Learners")</f>
        <v>Access Abilities: Designing for All Learners</v>
      </c>
      <c r="M76" s="230" t="s">
        <v>280</v>
      </c>
      <c r="N76" s="589" t="s">
        <v>474</v>
      </c>
      <c r="O76" s="223" t="s">
        <v>428</v>
      </c>
    </row>
    <row r="77">
      <c r="A77" s="761"/>
      <c r="B77" s="539"/>
      <c r="C77" s="539"/>
      <c r="D77" s="539"/>
      <c r="E77" s="749">
        <v>43572.0</v>
      </c>
      <c r="F77" s="70" t="s">
        <v>1496</v>
      </c>
      <c r="G77" s="528" t="str">
        <f>HYPERLINK("https://forms.gle/dqTHLjJTpTuf92Xj7","Register Here")</f>
        <v>Register Here</v>
      </c>
      <c r="H77" s="220" t="s">
        <v>470</v>
      </c>
      <c r="I77" s="70" t="s">
        <v>1559</v>
      </c>
      <c r="J77" s="215"/>
      <c r="K77" s="70" t="s">
        <v>1560</v>
      </c>
      <c r="L77" s="554" t="str">
        <f>HYPERLINK("https://docs.google.com/document/d/1v-uNO8I_3qCgVGAO6RxFN9gH80QQIHt4hE9N9-Rwd54/edit?usp=sharing","Agenda  Link")</f>
        <v>Agenda  Link</v>
      </c>
      <c r="M77" s="545" t="s">
        <v>221</v>
      </c>
      <c r="N77" s="70" t="s">
        <v>1561</v>
      </c>
      <c r="O77" s="70"/>
    </row>
    <row r="78">
      <c r="A78" s="761"/>
      <c r="B78" s="539"/>
      <c r="C78" s="539"/>
      <c r="D78" s="539"/>
      <c r="E78" s="666">
        <v>43572.0</v>
      </c>
      <c r="F78" s="70" t="s">
        <v>1448</v>
      </c>
      <c r="G78" s="528" t="str">
        <f>HYPERLINK("https://www.surveygizmo.com/s3/2325967/SPOC-PD-Registration","Register Here")</f>
        <v>Register Here</v>
      </c>
      <c r="H78" s="70" t="s">
        <v>254</v>
      </c>
      <c r="I78" s="70" t="s">
        <v>226</v>
      </c>
      <c r="J78" s="541" t="s">
        <v>116</v>
      </c>
      <c r="K78" s="70" t="s">
        <v>219</v>
      </c>
      <c r="L78" s="554" t="str">
        <f>HYPERLINK("https://drive.google.com/open?id=16rMmVYxkbDNBGVYNyzpHCx-A-n4TUprP","SPOC Meet-up")</f>
        <v>SPOC Meet-up</v>
      </c>
      <c r="M78" s="545" t="s">
        <v>221</v>
      </c>
      <c r="N78" s="70" t="s">
        <v>222</v>
      </c>
      <c r="O78" s="70"/>
    </row>
    <row r="79">
      <c r="A79" s="761"/>
      <c r="B79" s="539"/>
      <c r="C79" s="539"/>
      <c r="D79" s="539"/>
      <c r="E79" s="666">
        <v>43572.0</v>
      </c>
      <c r="F79" s="70" t="s">
        <v>1562</v>
      </c>
      <c r="G79" s="528" t="str">
        <f>HYPERLINK("https://nam01.safelinks.protection.outlook.com/?url=http%3A%2F%2Fbit.ly%2FLbMSeriesUSA&amp;data=02%7C01%7CNSchepi%40schools.nyc.gov%7C66bebdd6306443f92fb908d6b87dff90%7C18492cb7ef45456185710c42e5f7ac07%7C0%7C0%7C636899248640631493&amp;sdata=ZAk%2FS9%2FhoCDpqteJ5y"&amp;"WqFPAho2xbOk79uYLpy8n7p1U%3D&amp;reserved=0","Register Here")</f>
        <v>Register Here</v>
      </c>
      <c r="H79" s="835" t="s">
        <v>1563</v>
      </c>
      <c r="I79" s="70" t="s">
        <v>1564</v>
      </c>
      <c r="J79" s="541" t="s">
        <v>1565</v>
      </c>
      <c r="K79" s="70" t="s">
        <v>1566</v>
      </c>
      <c r="L79" s="572" t="s">
        <v>1567</v>
      </c>
      <c r="M79" s="545" t="s">
        <v>280</v>
      </c>
      <c r="N79" s="836" t="s">
        <v>1568</v>
      </c>
      <c r="O79" s="836"/>
    </row>
    <row r="80">
      <c r="A80" s="761"/>
      <c r="B80" s="539"/>
      <c r="C80" s="539"/>
      <c r="D80" s="539"/>
      <c r="E80" s="666">
        <v>43573.0</v>
      </c>
      <c r="F80" s="70" t="s">
        <v>1407</v>
      </c>
      <c r="G80" s="528" t="str">
        <f t="shared" ref="G80:G81" si="8">HYPERLINK("https://www.surveygizmo.com/s3/2325967/SPOC-PD-Registration","Register Here")</f>
        <v>Register Here</v>
      </c>
      <c r="H80" s="70" t="s">
        <v>1547</v>
      </c>
      <c r="I80" s="70" t="s">
        <v>226</v>
      </c>
      <c r="J80" s="541" t="s">
        <v>116</v>
      </c>
      <c r="K80" s="70" t="s">
        <v>219</v>
      </c>
      <c r="L80" s="554" t="str">
        <f>HYPERLINK("https://drive.google.com/file/d/1QiPk58HpXWvyFVZFjFTPfONcGYL84cNE/view?usp=sharing","SPOC Meet-up")</f>
        <v>SPOC Meet-up</v>
      </c>
      <c r="M80" s="545" t="s">
        <v>221</v>
      </c>
      <c r="N80" s="70" t="s">
        <v>222</v>
      </c>
      <c r="O80" s="70"/>
    </row>
    <row r="81">
      <c r="A81" s="761"/>
      <c r="B81" s="539"/>
      <c r="C81" s="539"/>
      <c r="D81" s="539"/>
      <c r="E81" s="666">
        <v>43573.0</v>
      </c>
      <c r="F81" s="70" t="s">
        <v>1569</v>
      </c>
      <c r="G81" s="528" t="str">
        <f t="shared" si="8"/>
        <v>Register Here</v>
      </c>
      <c r="H81" s="70" t="s">
        <v>1029</v>
      </c>
      <c r="I81" s="70" t="s">
        <v>226</v>
      </c>
      <c r="J81" s="541" t="s">
        <v>116</v>
      </c>
      <c r="K81" s="70" t="s">
        <v>219</v>
      </c>
      <c r="L81" s="554" t="str">
        <f>HYPERLINK("https://nam01.safelinks.protection.outlook.com/ap/w-59584e83/?url=https%3A%2F%2Fnycdoe.sharepoint.com%2F%3Aw%3A%2Fr%2Fsites%2FDIITSPOCSharePoint%2FShared%2520Documents%2FSPOC%2520Meet-up%2FSpoc%2520Meet%2520Up%2520(Manhattan)%252041819.docx%3Fd%3Dw716e7ed"&amp;"93b38412eafbb53b9a490f115%26csf%3D1%26e%3DiUr7R3&amp;data=02%7C01%7CNSchepi%40schools.nyc.gov%7C141b8659f5724084286108d6b15a8d28%7C18492cb7ef45456185710c42e5f7ac07%7C0%7C0%7C636891399815769358&amp;sdata=9sSEK%2BA5lnwpTm%2BoubOb1AaXef95T31E6hrzHKy4b8U%3D&amp;reserved="&amp;"0","SPOC Meet-up")</f>
        <v>SPOC Meet-up</v>
      </c>
      <c r="M81" s="545" t="s">
        <v>221</v>
      </c>
      <c r="N81" s="836" t="s">
        <v>1570</v>
      </c>
      <c r="O81" s="836"/>
    </row>
    <row r="82" ht="33.0" customHeight="1">
      <c r="A82" s="638">
        <v>43349.62970269676</v>
      </c>
      <c r="B82" s="70" t="s">
        <v>466</v>
      </c>
      <c r="C82" s="70" t="s">
        <v>467</v>
      </c>
      <c r="D82" s="70" t="s">
        <v>468</v>
      </c>
      <c r="E82" s="666">
        <v>43584.0</v>
      </c>
      <c r="F82" s="70" t="s">
        <v>1291</v>
      </c>
      <c r="G82" s="528" t="str">
        <f>HYPERLINK("https://events.apple.com/content/events/us_education/us/en/k12ipadnycdoe-land.html?token=1HwfPgJr5Ai_ZQITNHLDL5CgzMwJj8DfCb3RNuzorRioYWA1j7RUgdI1MKfsX6g6ycvWnIfJTQ1u0vluvfALgzQvnSkoCsf21_WgeqnIQDtGYRv9tTvGOGlu2bdm8jIX&amp;a=1&amp;l=e","Register Here")</f>
        <v>Register Here</v>
      </c>
      <c r="H82" s="70" t="s">
        <v>1293</v>
      </c>
      <c r="I82" s="70" t="s">
        <v>1222</v>
      </c>
      <c r="J82" s="541" t="s">
        <v>536</v>
      </c>
      <c r="K82" s="70" t="s">
        <v>1223</v>
      </c>
      <c r="L82" s="554" t="str">
        <f>HYPERLINK("https://events.apple.com/content/events/us_education/us/en/k12ipadnycdoe-land.html?token=1HwfPgJr5Ai_ZQITNHLDL5CgzMwJj8DfCb3RNuzorRioYWA1j7RUgdI1MKfsX6g6ycvWnIfJTQ1u0vluvfALgzQvnSkoCsf21_WgeqnIQDtGYRv9tTvGOGlu2bdm8jIX&amp;a=1&amp;l=e","Deploying iOS in the NYCDOE ")</f>
        <v>Deploying iOS in the NYCDOE </v>
      </c>
      <c r="M82" s="545" t="s">
        <v>280</v>
      </c>
      <c r="N82" s="70" t="s">
        <v>1226</v>
      </c>
      <c r="O82" s="70"/>
    </row>
    <row r="83" ht="29.25" customHeight="1">
      <c r="A83" s="638">
        <v>43349.62784829861</v>
      </c>
      <c r="B83" s="70" t="s">
        <v>466</v>
      </c>
      <c r="C83" s="70" t="s">
        <v>467</v>
      </c>
      <c r="D83" s="70" t="s">
        <v>468</v>
      </c>
      <c r="E83" s="666">
        <v>43584.0</v>
      </c>
      <c r="F83" s="70" t="s">
        <v>1228</v>
      </c>
      <c r="G83" s="528" t="str">
        <f>HYPERLINK("https://events.apple.com/content/events/us_education/us/en/k12macnycdoe-land.html?token=QjKAKK5_NwITK-PZn_gMRdc2Dum6Iffqb8eEAtTJnLCtI9uEYVs7f2kIpyi5iJRsGiftxsPDpDiYy-hJJjsMCQ3o5UxmIgTiqw3o7LrELct48RZK4DoFcXCuiVCPsLU8&amp;a=1&amp;l=e","Register Here")</f>
        <v>Register Here</v>
      </c>
      <c r="H83" s="70" t="s">
        <v>1293</v>
      </c>
      <c r="I83" s="70" t="s">
        <v>1552</v>
      </c>
      <c r="J83" s="541" t="s">
        <v>536</v>
      </c>
      <c r="K83" s="70" t="s">
        <v>1223</v>
      </c>
      <c r="L83" s="554" t="str">
        <f>HYPERLINK("https://events.apple.com/content/events/us_education/us/en/k12macnycdoe-land.html?token=QjKAKK5_NwITK-PZn_gMRdc2Dum6Iffqb8eEAtTJnLCtI9uEYVs7f2kIpyi5iJRsGiftxsPDpDiYy-hJJjsMCQ3o5UxmIgTiqw3o7LrELct48RZK4DoFcXCuiVCPsLU8&amp;a=1&amp;l=e","Deploying Mac in the NYCDOE")</f>
        <v>Deploying Mac in the NYCDOE</v>
      </c>
      <c r="M83" s="545" t="s">
        <v>280</v>
      </c>
      <c r="N83" s="70" t="s">
        <v>1236</v>
      </c>
      <c r="O83" s="70"/>
    </row>
    <row r="84" ht="38.25" customHeight="1">
      <c r="A84" s="638"/>
      <c r="B84" s="70"/>
      <c r="C84" s="70"/>
      <c r="D84" s="70"/>
      <c r="E84" s="666">
        <v>43584.0</v>
      </c>
      <c r="F84" s="70" t="s">
        <v>1571</v>
      </c>
      <c r="G84" s="528" t="str">
        <f>HYPERLINK("https://www.surveygizmo.com/s3/2325967/SPOC-PD-Registration","Register Here")</f>
        <v>Register Here</v>
      </c>
      <c r="H84" s="70" t="s">
        <v>232</v>
      </c>
      <c r="I84" s="70" t="s">
        <v>226</v>
      </c>
      <c r="J84" s="541" t="s">
        <v>116</v>
      </c>
      <c r="K84" s="70" t="s">
        <v>219</v>
      </c>
      <c r="L84" s="554" t="str">
        <f>HYPERLINK("https://nycdoe-my.sharepoint.com/:w:/g/personal/nschepi_schools_nyc_gov/EfmNKErvmAFOtfPTXuEcvekBedzbTnnYQur_XAE8yopYaw?e=28Vmxe","SPOC Meet-up")</f>
        <v>SPOC Meet-up</v>
      </c>
      <c r="M84" s="545" t="s">
        <v>221</v>
      </c>
      <c r="N84" s="70" t="s">
        <v>1572</v>
      </c>
      <c r="O84" s="70"/>
    </row>
    <row r="85">
      <c r="A85" s="837"/>
      <c r="B85" s="838" t="s">
        <v>466</v>
      </c>
      <c r="C85" s="839" t="s">
        <v>467</v>
      </c>
      <c r="D85" s="840" t="s">
        <v>468</v>
      </c>
      <c r="E85" s="841">
        <v>43584.0</v>
      </c>
      <c r="F85" s="565" t="s">
        <v>1573</v>
      </c>
      <c r="G85" s="842" t="s">
        <v>1206</v>
      </c>
      <c r="H85" s="565" t="s">
        <v>1574</v>
      </c>
      <c r="I85" s="565" t="s">
        <v>1575</v>
      </c>
      <c r="J85" s="232" t="s">
        <v>1576</v>
      </c>
      <c r="K85" s="589" t="s">
        <v>1558</v>
      </c>
      <c r="L85" s="235" t="s">
        <v>1573</v>
      </c>
      <c r="M85" s="237" t="s">
        <v>280</v>
      </c>
      <c r="N85" s="589" t="s">
        <v>1577</v>
      </c>
      <c r="O85" s="589"/>
    </row>
    <row r="86">
      <c r="A86" s="843"/>
      <c r="B86" s="844" t="s">
        <v>466</v>
      </c>
      <c r="C86" s="845" t="s">
        <v>467</v>
      </c>
      <c r="D86" s="840" t="s">
        <v>468</v>
      </c>
      <c r="E86" s="846">
        <v>43585.0</v>
      </c>
      <c r="F86" s="565" t="s">
        <v>1573</v>
      </c>
      <c r="G86" s="842" t="s">
        <v>1206</v>
      </c>
      <c r="H86" s="565" t="s">
        <v>1574</v>
      </c>
      <c r="I86" s="565" t="s">
        <v>1575</v>
      </c>
      <c r="J86" s="232" t="s">
        <v>1576</v>
      </c>
      <c r="K86" s="589" t="s">
        <v>1558</v>
      </c>
      <c r="L86" s="235" t="s">
        <v>1573</v>
      </c>
      <c r="M86" s="237" t="s">
        <v>280</v>
      </c>
      <c r="N86" s="589" t="s">
        <v>1577</v>
      </c>
      <c r="O86" s="589"/>
    </row>
    <row r="87">
      <c r="A87" s="843"/>
      <c r="B87" s="844" t="s">
        <v>466</v>
      </c>
      <c r="C87" s="845" t="s">
        <v>467</v>
      </c>
      <c r="D87" s="840" t="s">
        <v>468</v>
      </c>
      <c r="E87" s="846">
        <v>43586.0</v>
      </c>
      <c r="F87" s="565" t="s">
        <v>1573</v>
      </c>
      <c r="G87" s="842" t="s">
        <v>1206</v>
      </c>
      <c r="H87" s="565" t="s">
        <v>1574</v>
      </c>
      <c r="I87" s="565" t="s">
        <v>1575</v>
      </c>
      <c r="J87" s="232" t="s">
        <v>1576</v>
      </c>
      <c r="K87" s="589" t="s">
        <v>1558</v>
      </c>
      <c r="L87" s="235" t="s">
        <v>1573</v>
      </c>
      <c r="M87" s="237" t="s">
        <v>280</v>
      </c>
      <c r="N87" s="589" t="s">
        <v>1577</v>
      </c>
      <c r="O87" s="589"/>
    </row>
    <row r="88">
      <c r="A88" s="843"/>
      <c r="B88" s="844" t="s">
        <v>466</v>
      </c>
      <c r="C88" s="845" t="s">
        <v>467</v>
      </c>
      <c r="D88" s="840" t="s">
        <v>468</v>
      </c>
      <c r="E88" s="846">
        <v>43587.0</v>
      </c>
      <c r="F88" s="565" t="s">
        <v>1573</v>
      </c>
      <c r="G88" s="842" t="s">
        <v>1206</v>
      </c>
      <c r="H88" s="565" t="s">
        <v>1574</v>
      </c>
      <c r="I88" s="565" t="s">
        <v>1575</v>
      </c>
      <c r="J88" s="232" t="s">
        <v>1576</v>
      </c>
      <c r="K88" s="589" t="s">
        <v>1558</v>
      </c>
      <c r="L88" s="235" t="s">
        <v>1573</v>
      </c>
      <c r="M88" s="237" t="s">
        <v>280</v>
      </c>
      <c r="N88" s="589" t="s">
        <v>1577</v>
      </c>
      <c r="O88" s="589"/>
    </row>
    <row r="89">
      <c r="A89" s="843"/>
      <c r="B89" s="844" t="s">
        <v>466</v>
      </c>
      <c r="C89" s="845" t="s">
        <v>467</v>
      </c>
      <c r="D89" s="840" t="s">
        <v>468</v>
      </c>
      <c r="E89" s="846">
        <v>43591.0</v>
      </c>
      <c r="F89" s="565" t="s">
        <v>1578</v>
      </c>
      <c r="G89" s="842" t="s">
        <v>1206</v>
      </c>
      <c r="H89" s="565" t="s">
        <v>1574</v>
      </c>
      <c r="I89" s="565" t="s">
        <v>1575</v>
      </c>
      <c r="J89" s="232" t="s">
        <v>1576</v>
      </c>
      <c r="K89" s="589" t="s">
        <v>1558</v>
      </c>
      <c r="L89" s="235" t="s">
        <v>1578</v>
      </c>
      <c r="M89" s="237" t="s">
        <v>280</v>
      </c>
      <c r="N89" s="589" t="s">
        <v>1579</v>
      </c>
      <c r="O89" s="589"/>
    </row>
    <row r="90">
      <c r="A90" s="843"/>
      <c r="B90" s="844" t="s">
        <v>466</v>
      </c>
      <c r="C90" s="845" t="s">
        <v>467</v>
      </c>
      <c r="D90" s="840" t="s">
        <v>468</v>
      </c>
      <c r="E90" s="846">
        <v>43592.0</v>
      </c>
      <c r="F90" s="565" t="s">
        <v>1578</v>
      </c>
      <c r="G90" s="842" t="s">
        <v>1206</v>
      </c>
      <c r="H90" s="565" t="s">
        <v>1574</v>
      </c>
      <c r="I90" s="565" t="s">
        <v>1575</v>
      </c>
      <c r="J90" s="232" t="s">
        <v>1576</v>
      </c>
      <c r="K90" s="589" t="s">
        <v>1558</v>
      </c>
      <c r="L90" s="235" t="s">
        <v>1578</v>
      </c>
      <c r="M90" s="237" t="s">
        <v>280</v>
      </c>
      <c r="N90" s="589" t="s">
        <v>1579</v>
      </c>
      <c r="O90" s="589"/>
    </row>
    <row r="91">
      <c r="A91" s="843"/>
      <c r="B91" s="844"/>
      <c r="C91" s="845"/>
      <c r="D91" s="840"/>
      <c r="E91" s="846">
        <v>43593.0</v>
      </c>
      <c r="F91" s="565" t="s">
        <v>1580</v>
      </c>
      <c r="G91" s="842" t="str">
        <f>HYPERLINK("https://aka.ms/msedunyc","Register Here")</f>
        <v>Register Here</v>
      </c>
      <c r="H91" s="565" t="s">
        <v>1581</v>
      </c>
      <c r="I91" s="565" t="s">
        <v>1582</v>
      </c>
      <c r="J91" s="232" t="s">
        <v>52</v>
      </c>
      <c r="K91" s="589" t="s">
        <v>1583</v>
      </c>
      <c r="L91" s="243" t="str">
        <f>HYPERLINK("https://www.microsoftevents.com/profile/form/index.cfm?PKformID=0x6606187abcd","Microsoft Ed Summit")</f>
        <v>Microsoft Ed Summit</v>
      </c>
      <c r="M91" s="237"/>
      <c r="N91" s="589" t="s">
        <v>1584</v>
      </c>
      <c r="O91" s="589"/>
    </row>
    <row r="92">
      <c r="A92" s="843"/>
      <c r="B92" s="844" t="s">
        <v>466</v>
      </c>
      <c r="C92" s="845" t="s">
        <v>467</v>
      </c>
      <c r="D92" s="840" t="s">
        <v>468</v>
      </c>
      <c r="E92" s="846">
        <v>43593.0</v>
      </c>
      <c r="F92" s="589" t="s">
        <v>1585</v>
      </c>
      <c r="G92" s="842" t="s">
        <v>1206</v>
      </c>
      <c r="H92" s="565" t="s">
        <v>1574</v>
      </c>
      <c r="I92" s="565" t="s">
        <v>1575</v>
      </c>
      <c r="J92" s="232" t="s">
        <v>1576</v>
      </c>
      <c r="K92" s="589" t="s">
        <v>1558</v>
      </c>
      <c r="L92" s="235" t="s">
        <v>1585</v>
      </c>
      <c r="M92" s="237" t="s">
        <v>280</v>
      </c>
      <c r="N92" s="589" t="s">
        <v>1586</v>
      </c>
      <c r="O92" s="589"/>
    </row>
    <row r="93">
      <c r="A93" s="843"/>
      <c r="B93" s="844" t="s">
        <v>466</v>
      </c>
      <c r="C93" s="845" t="s">
        <v>467</v>
      </c>
      <c r="D93" s="840" t="s">
        <v>468</v>
      </c>
      <c r="E93" s="846">
        <v>43594.0</v>
      </c>
      <c r="F93" s="589" t="s">
        <v>1585</v>
      </c>
      <c r="G93" s="842" t="s">
        <v>1206</v>
      </c>
      <c r="H93" s="565" t="s">
        <v>1574</v>
      </c>
      <c r="I93" s="565" t="s">
        <v>1575</v>
      </c>
      <c r="J93" s="232" t="s">
        <v>1576</v>
      </c>
      <c r="K93" s="589" t="s">
        <v>1558</v>
      </c>
      <c r="L93" s="235" t="s">
        <v>1585</v>
      </c>
      <c r="M93" s="237" t="s">
        <v>280</v>
      </c>
      <c r="N93" s="589" t="s">
        <v>1586</v>
      </c>
      <c r="O93" s="589"/>
    </row>
    <row r="94">
      <c r="A94" s="847"/>
      <c r="B94" s="847" t="s">
        <v>466</v>
      </c>
      <c r="C94" s="839" t="s">
        <v>467</v>
      </c>
      <c r="D94" s="840" t="s">
        <v>468</v>
      </c>
      <c r="E94" s="841">
        <v>43594.0</v>
      </c>
      <c r="F94" s="565" t="s">
        <v>1587</v>
      </c>
      <c r="G94" s="790" t="s">
        <v>514</v>
      </c>
      <c r="H94" s="565" t="s">
        <v>470</v>
      </c>
      <c r="I94" s="565" t="s">
        <v>471</v>
      </c>
      <c r="J94" s="232" t="s">
        <v>472</v>
      </c>
      <c r="K94" s="589" t="s">
        <v>1558</v>
      </c>
      <c r="L94" s="229" t="s">
        <v>1587</v>
      </c>
      <c r="M94" s="237" t="s">
        <v>280</v>
      </c>
      <c r="N94" s="589" t="s">
        <v>1588</v>
      </c>
      <c r="O94" s="223" t="s">
        <v>428</v>
      </c>
    </row>
    <row r="95" ht="41.25" customHeight="1">
      <c r="A95" s="638"/>
      <c r="B95" s="70"/>
      <c r="C95" s="70"/>
      <c r="D95" s="70"/>
      <c r="E95" s="666">
        <v>43595.0</v>
      </c>
      <c r="F95" s="70" t="s">
        <v>1589</v>
      </c>
      <c r="G95" s="528" t="str">
        <f>HYPERLINK("https://www.surveygizmo.com/s3/2325967/SPOC-PD-Registration","Register Here")</f>
        <v>Register Here</v>
      </c>
      <c r="H95" s="70" t="s">
        <v>237</v>
      </c>
      <c r="I95" s="70" t="s">
        <v>226</v>
      </c>
      <c r="J95" s="541" t="s">
        <v>116</v>
      </c>
      <c r="K95" s="70" t="s">
        <v>219</v>
      </c>
      <c r="L95" s="554" t="str">
        <f>HYPERLINK("https://drive.google.com/file/d/1eSW_2oLUcRPhHHr4AyWp97vZv77ZsSFF/view?usp=sharing","SPOC Meet-up")</f>
        <v>SPOC Meet-up</v>
      </c>
      <c r="M95" s="545" t="s">
        <v>221</v>
      </c>
      <c r="N95" s="70" t="s">
        <v>222</v>
      </c>
      <c r="O95" s="70"/>
    </row>
    <row r="96">
      <c r="A96" s="848"/>
      <c r="B96" s="849"/>
      <c r="C96" s="849"/>
      <c r="D96" s="850"/>
      <c r="E96" s="851">
        <v>43596.0</v>
      </c>
      <c r="F96" s="589" t="s">
        <v>1590</v>
      </c>
      <c r="G96" s="842" t="str">
        <f>HYPERLINK("https://www.eventbrite.com/e/izoneilearnnyc-google-level-1-certification-ltg-31-tickets-59846426272","Register Here")</f>
        <v>Register Here</v>
      </c>
      <c r="H96" s="565" t="s">
        <v>1591</v>
      </c>
      <c r="I96" s="565" t="s">
        <v>1592</v>
      </c>
      <c r="J96" s="232" t="s">
        <v>551</v>
      </c>
      <c r="K96" s="589" t="s">
        <v>1593</v>
      </c>
      <c r="L96" s="243" t="str">
        <f>HYPERLINK("https://www.eventbrite.com/e/izoneilearnnyc-google-level-1-certification-ltg-31-tickets-59846426272","Google Level 1 Certification")</f>
        <v>Google Level 1 Certification</v>
      </c>
      <c r="M96" s="237" t="s">
        <v>221</v>
      </c>
      <c r="N96" s="589" t="s">
        <v>1594</v>
      </c>
      <c r="O96" s="589"/>
    </row>
    <row r="97">
      <c r="A97" s="852"/>
      <c r="B97" s="853" t="s">
        <v>466</v>
      </c>
      <c r="C97" s="845" t="s">
        <v>467</v>
      </c>
      <c r="D97" s="840" t="s">
        <v>468</v>
      </c>
      <c r="E97" s="851">
        <v>43598.0</v>
      </c>
      <c r="F97" s="589" t="s">
        <v>1595</v>
      </c>
      <c r="G97" s="842" t="s">
        <v>1206</v>
      </c>
      <c r="H97" s="565" t="s">
        <v>1574</v>
      </c>
      <c r="I97" s="565" t="s">
        <v>1575</v>
      </c>
      <c r="J97" s="232" t="s">
        <v>1576</v>
      </c>
      <c r="K97" s="589" t="s">
        <v>1558</v>
      </c>
      <c r="L97" s="235" t="s">
        <v>1595</v>
      </c>
      <c r="M97" s="237" t="s">
        <v>280</v>
      </c>
      <c r="N97" s="589" t="s">
        <v>1596</v>
      </c>
      <c r="O97" s="589"/>
    </row>
    <row r="98">
      <c r="A98" s="854"/>
      <c r="B98" s="844" t="s">
        <v>466</v>
      </c>
      <c r="C98" s="845" t="s">
        <v>467</v>
      </c>
      <c r="D98" s="840" t="s">
        <v>468</v>
      </c>
      <c r="E98" s="851">
        <v>43599.0</v>
      </c>
      <c r="F98" s="589" t="s">
        <v>1595</v>
      </c>
      <c r="G98" s="842" t="s">
        <v>1206</v>
      </c>
      <c r="H98" s="565" t="s">
        <v>1574</v>
      </c>
      <c r="I98" s="565" t="s">
        <v>1575</v>
      </c>
      <c r="J98" s="232" t="s">
        <v>1576</v>
      </c>
      <c r="K98" s="589" t="s">
        <v>1558</v>
      </c>
      <c r="L98" s="235" t="s">
        <v>1595</v>
      </c>
      <c r="M98" s="237" t="s">
        <v>280</v>
      </c>
      <c r="N98" s="589" t="s">
        <v>1596</v>
      </c>
      <c r="O98" s="589"/>
    </row>
    <row r="99">
      <c r="A99" s="638"/>
      <c r="B99" s="70"/>
      <c r="C99" s="70"/>
      <c r="D99" s="70"/>
      <c r="E99" s="666">
        <v>43606.0</v>
      </c>
      <c r="F99" s="70" t="s">
        <v>1597</v>
      </c>
      <c r="G99" s="528" t="str">
        <f>HYPERLINK("https://www.surveygizmo.com/s3/2325967/SPOC-PD-Registration","Register Here")</f>
        <v>Register Here</v>
      </c>
      <c r="H99" s="70" t="s">
        <v>254</v>
      </c>
      <c r="I99" s="70" t="s">
        <v>226</v>
      </c>
      <c r="J99" s="541" t="s">
        <v>116</v>
      </c>
      <c r="K99" s="70" t="s">
        <v>219</v>
      </c>
      <c r="L99" s="554" t="str">
        <f>HYPERLINK("https://docs.google.com/document/d/1qLlr4mSqi2ujWIsnkPOs5arqy7RH4F5SYA7MjQ-ryYY/edit?usp=sharing","SPOC Meet-up")</f>
        <v>SPOC Meet-up</v>
      </c>
      <c r="M99" s="545" t="s">
        <v>221</v>
      </c>
      <c r="N99" s="70" t="s">
        <v>1598</v>
      </c>
      <c r="O99" s="70"/>
    </row>
    <row r="100">
      <c r="A100" s="638"/>
      <c r="B100" s="70"/>
      <c r="C100" s="70"/>
      <c r="D100" s="70"/>
      <c r="E100" s="666">
        <v>43601.0</v>
      </c>
      <c r="F100" s="70" t="s">
        <v>1599</v>
      </c>
      <c r="G100" s="528" t="str">
        <f>HYPERLINK("https://nam01.safelinks.protection.outlook.com/?url=https%3A%2F%2Fwww.eventbrite.com%2Fe%2Fgetting-started-with-3d-printing-with-makerbot-tickets-59818763532&amp;data=02%7C01%7CNSchepi%40schools.nyc.gov%7C66bebdd6306443f92fb908d6b87dff90%7C18492cb7ef454561857"&amp;"10c42e5f7ac07%7C0%7C0%7C636899248640641502&amp;sdata=HtFaFrwlz2E3otJCkGf5sxee13qM9IMpjIdHWX2nJ%2FE%3D&amp;reserved=0","Register Here")</f>
        <v>Register Here</v>
      </c>
      <c r="H100" s="855" t="s">
        <v>1600</v>
      </c>
      <c r="I100" s="856" t="s">
        <v>1601</v>
      </c>
      <c r="J100" s="541" t="s">
        <v>1602</v>
      </c>
      <c r="K100" s="70" t="s">
        <v>1560</v>
      </c>
      <c r="L100" s="572" t="s">
        <v>1567</v>
      </c>
      <c r="M100" s="545" t="s">
        <v>221</v>
      </c>
      <c r="N100" s="835" t="s">
        <v>1603</v>
      </c>
      <c r="O100" s="836"/>
    </row>
    <row r="101">
      <c r="A101" s="638"/>
      <c r="B101" s="70"/>
      <c r="C101" s="70"/>
      <c r="D101" s="70"/>
      <c r="E101" s="666">
        <v>43603.0</v>
      </c>
      <c r="F101" s="70" t="s">
        <v>1604</v>
      </c>
      <c r="G101" s="537" t="str">
        <f>HYPERLINK("https://www.eventbrite.com/e/izoneilearnnyc-google-level-2-certification-ltg-31-tickets-59847604797","Register Here")</f>
        <v>Register Here</v>
      </c>
      <c r="H101" s="62" t="s">
        <v>1591</v>
      </c>
      <c r="I101" s="70" t="s">
        <v>1484</v>
      </c>
      <c r="J101" s="541" t="s">
        <v>551</v>
      </c>
      <c r="K101" s="70" t="s">
        <v>1593</v>
      </c>
      <c r="L101" s="554" t="str">
        <f>HYPERLINK("https://www.eventbrite.com/e/izoneilearnnyc-google-level-2-certification-ltg-31-tickets-59847604797","Google Level 2 Certification")</f>
        <v>Google Level 2 Certification</v>
      </c>
      <c r="M101" s="545" t="s">
        <v>221</v>
      </c>
      <c r="N101" s="70" t="s">
        <v>1605</v>
      </c>
      <c r="O101" s="70"/>
    </row>
    <row r="102">
      <c r="A102" s="638"/>
      <c r="B102" s="70"/>
      <c r="C102" s="70"/>
      <c r="D102" s="70"/>
      <c r="E102" s="666">
        <v>43608.0</v>
      </c>
      <c r="F102" s="70" t="s">
        <v>1606</v>
      </c>
      <c r="G102" s="537" t="str">
        <f>HYPERLINK("https://www.surveygizmo.com/s3/2456714/Professional-Learning-Sign-up","Register Here")</f>
        <v>Register Here</v>
      </c>
      <c r="H102" s="62" t="s">
        <v>1607</v>
      </c>
      <c r="I102" s="70" t="s">
        <v>226</v>
      </c>
      <c r="J102" s="541" t="s">
        <v>116</v>
      </c>
      <c r="K102" s="70" t="s">
        <v>1608</v>
      </c>
      <c r="L102" s="554" t="str">
        <f>HYPERLINK("https://docs.google.com/document/d/1jyWF5fDwvS72cnWdmArCbhwqxxaM-fNNo7sNt8SJlwg/edit#","Digital Inclusion Summit")</f>
        <v>Digital Inclusion Summit</v>
      </c>
      <c r="M102" s="545" t="s">
        <v>221</v>
      </c>
      <c r="N102" s="70" t="s">
        <v>1609</v>
      </c>
      <c r="O102" s="223" t="s">
        <v>428</v>
      </c>
    </row>
    <row r="103">
      <c r="A103" s="638">
        <v>43349.65468710648</v>
      </c>
      <c r="B103" s="70" t="s">
        <v>466</v>
      </c>
      <c r="C103" s="70" t="s">
        <v>467</v>
      </c>
      <c r="D103" s="70" t="s">
        <v>468</v>
      </c>
      <c r="E103" s="666">
        <v>43609.0</v>
      </c>
      <c r="F103" s="70" t="s">
        <v>1217</v>
      </c>
      <c r="G103" s="528" t="str">
        <f>HYPERLINK("https://events.apple.com/content/events/us_education/us/en/k12ipadnycdoe-land.html?token=1HwfPgJr5Ai_ZQITNHLDL_OtGozlsa_REJYRJnEYaPs5682g5104KJfHYPJujSbqxLfjqMIlxKTKWZMyo8_xk7_QXNG-zHeNIbWH96PjbuYMSxmd9YkOVq76jEalCDcL&amp;a=1&amp;l=e","Register Here")</f>
        <v>Register Here</v>
      </c>
      <c r="H103" s="70" t="s">
        <v>1293</v>
      </c>
      <c r="I103" s="70" t="s">
        <v>1222</v>
      </c>
      <c r="J103" s="541" t="s">
        <v>536</v>
      </c>
      <c r="K103" s="70" t="s">
        <v>1223</v>
      </c>
      <c r="L103" s="554" t="str">
        <f>HYPERLINK("https://events.apple.com/content/events/us_education/us/en/k12ipadnycdoe-land.html?token=1HwfPgJr5Ai_ZQITNHLDL_OtGozlsa_REJYRJnEYaPs5682g5104KJfHYPJujSbqxLfjqMIlxKTKWZMyo8_xk7_QXNG-zHeNIbWH96PjbuYMSxmd9YkOVq76jEalCDcL&amp;a=1&amp;l=e","Deploying iOS in NYCDOE")</f>
        <v>Deploying iOS in NYCDOE</v>
      </c>
      <c r="M103" s="545" t="s">
        <v>280</v>
      </c>
      <c r="N103" s="70" t="s">
        <v>1610</v>
      </c>
      <c r="O103" s="70"/>
    </row>
    <row r="104">
      <c r="A104" s="638">
        <v>43349.65264075232</v>
      </c>
      <c r="B104" s="70" t="s">
        <v>466</v>
      </c>
      <c r="C104" s="70" t="s">
        <v>467</v>
      </c>
      <c r="D104" s="70" t="s">
        <v>468</v>
      </c>
      <c r="E104" s="666">
        <v>43609.0</v>
      </c>
      <c r="F104" s="70" t="s">
        <v>1611</v>
      </c>
      <c r="G104" s="528" t="str">
        <f>HYPERLINK("https://events.apple.com/content/events/us_education/us/en/k12macnycdoe-land.html?token=QjKAKK5_NwITK-PZn_gMRaBx-7HnKWRwwfcF7N1GQt_NieEhP6BTEwfjPal90aEN2PxmLyttebo75OEI-qZ9FVQfCk8loP1rt9vwIVPtVE5_y3k6ASCqfjAcWSNpBaEF&amp;a=1&amp;l=e","Register Here")</f>
        <v>Register Here</v>
      </c>
      <c r="H104" s="70" t="s">
        <v>1293</v>
      </c>
      <c r="I104" s="70" t="s">
        <v>1552</v>
      </c>
      <c r="J104" s="541" t="s">
        <v>536</v>
      </c>
      <c r="K104" s="70" t="s">
        <v>1223</v>
      </c>
      <c r="L104" s="554" t="str">
        <f>HYPERLINK("https://events.apple.com/content/events/us_education/us/en/k12macnycdoe-land.html?token=QjKAKK5_NwITK-PZn_gMRaBx-7HnKWRwwfcF7N1GQt_NieEhP6BTEwfjPal90aEN2PxmLyttebo75OEI-qZ9FVQfCk8loP1rt9vwIVPtVE5_y3k6ASCqfjAcWSNpBaEF&amp;a=1&amp;l=e","Deploying Mac in NYCDOE")</f>
        <v>Deploying Mac in NYCDOE</v>
      </c>
      <c r="M104" s="545" t="s">
        <v>280</v>
      </c>
      <c r="N104" s="70" t="s">
        <v>1236</v>
      </c>
      <c r="O104" s="70"/>
    </row>
    <row r="105">
      <c r="A105" s="857"/>
      <c r="B105" s="237" t="s">
        <v>466</v>
      </c>
      <c r="C105" s="237" t="s">
        <v>467</v>
      </c>
      <c r="D105" s="785" t="s">
        <v>468</v>
      </c>
      <c r="E105" s="762">
        <v>43613.0</v>
      </c>
      <c r="F105" s="565" t="s">
        <v>1573</v>
      </c>
      <c r="G105" s="842" t="s">
        <v>514</v>
      </c>
      <c r="H105" s="565" t="s">
        <v>1574</v>
      </c>
      <c r="I105" s="565" t="s">
        <v>1575</v>
      </c>
      <c r="J105" s="232" t="s">
        <v>1576</v>
      </c>
      <c r="K105" s="589" t="s">
        <v>1558</v>
      </c>
      <c r="L105" s="235" t="s">
        <v>1573</v>
      </c>
      <c r="M105" s="237" t="s">
        <v>280</v>
      </c>
      <c r="N105" s="589" t="s">
        <v>1577</v>
      </c>
      <c r="O105" s="589"/>
    </row>
    <row r="106">
      <c r="A106" s="761"/>
      <c r="B106" s="539"/>
      <c r="C106" s="539"/>
      <c r="D106" s="539"/>
      <c r="E106" s="666">
        <v>43614.0</v>
      </c>
      <c r="F106" s="70" t="s">
        <v>1407</v>
      </c>
      <c r="G106" s="528" t="str">
        <f t="shared" ref="G106:G107" si="9">HYPERLINK("https://www.surveygizmo.com/s3/2325967/SPOC-PD-Registration","Register Here")</f>
        <v>Register Here</v>
      </c>
      <c r="H106" s="70" t="s">
        <v>1547</v>
      </c>
      <c r="I106" s="70" t="s">
        <v>226</v>
      </c>
      <c r="J106" s="541" t="s">
        <v>116</v>
      </c>
      <c r="K106" s="70" t="s">
        <v>219</v>
      </c>
      <c r="L106" s="554" t="str">
        <f>HYPERLINK("https://drive.google.com/open?id=16rMmVYxkbDNBGVYNyzpHCx-A-n4TUprP","SPOC Meet-up")</f>
        <v>SPOC Meet-up</v>
      </c>
      <c r="M106" s="545" t="s">
        <v>221</v>
      </c>
      <c r="N106" s="70" t="s">
        <v>222</v>
      </c>
      <c r="O106" s="70"/>
    </row>
    <row r="107">
      <c r="A107" s="761"/>
      <c r="B107" s="539"/>
      <c r="C107" s="539"/>
      <c r="D107" s="539"/>
      <c r="E107" s="666">
        <v>43614.0</v>
      </c>
      <c r="F107" s="70" t="s">
        <v>1612</v>
      </c>
      <c r="G107" s="528" t="str">
        <f t="shared" si="9"/>
        <v>Register Here</v>
      </c>
      <c r="H107" s="70" t="s">
        <v>232</v>
      </c>
      <c r="I107" s="70" t="s">
        <v>226</v>
      </c>
      <c r="J107" s="541" t="s">
        <v>116</v>
      </c>
      <c r="K107" s="70" t="s">
        <v>219</v>
      </c>
      <c r="L107" s="554" t="str">
        <f>HYPERLINK("https://nycdoe-my.sharepoint.com/:w:/g/personal/nschepi_schools_nyc_gov/EdnaCBG9tiRHooMmTo_lQ1YBeZ6JMG_0CulUTzIWm-pU7g?e=3c1v2v","SPOC Meet-up")</f>
        <v>SPOC Meet-up</v>
      </c>
      <c r="M107" s="545" t="s">
        <v>221</v>
      </c>
      <c r="N107" s="70" t="s">
        <v>1613</v>
      </c>
      <c r="O107" s="70"/>
    </row>
    <row r="108">
      <c r="A108" s="857"/>
      <c r="B108" s="858" t="s">
        <v>466</v>
      </c>
      <c r="C108" s="858" t="s">
        <v>467</v>
      </c>
      <c r="D108" s="785" t="s">
        <v>468</v>
      </c>
      <c r="E108" s="851">
        <v>43614.0</v>
      </c>
      <c r="F108" s="565" t="s">
        <v>1573</v>
      </c>
      <c r="G108" s="842" t="s">
        <v>514</v>
      </c>
      <c r="H108" s="565" t="s">
        <v>1574</v>
      </c>
      <c r="I108" s="565" t="s">
        <v>1575</v>
      </c>
      <c r="J108" s="232" t="s">
        <v>1576</v>
      </c>
      <c r="K108" s="589" t="s">
        <v>1558</v>
      </c>
      <c r="L108" s="235" t="s">
        <v>1573</v>
      </c>
      <c r="M108" s="237" t="s">
        <v>280</v>
      </c>
      <c r="N108" s="589" t="s">
        <v>1577</v>
      </c>
      <c r="O108" s="589"/>
    </row>
    <row r="109">
      <c r="A109" s="857"/>
      <c r="B109" s="858" t="s">
        <v>466</v>
      </c>
      <c r="C109" s="858" t="s">
        <v>467</v>
      </c>
      <c r="D109" s="785" t="s">
        <v>468</v>
      </c>
      <c r="E109" s="851">
        <v>43615.0</v>
      </c>
      <c r="F109" s="565" t="s">
        <v>1573</v>
      </c>
      <c r="G109" s="842" t="s">
        <v>514</v>
      </c>
      <c r="H109" s="565" t="s">
        <v>1574</v>
      </c>
      <c r="I109" s="565" t="s">
        <v>1575</v>
      </c>
      <c r="J109" s="232" t="s">
        <v>1576</v>
      </c>
      <c r="K109" s="589" t="s">
        <v>1558</v>
      </c>
      <c r="L109" s="235" t="s">
        <v>1573</v>
      </c>
      <c r="M109" s="237" t="s">
        <v>280</v>
      </c>
      <c r="N109" s="589" t="s">
        <v>1577</v>
      </c>
      <c r="O109" s="589"/>
    </row>
    <row r="110">
      <c r="A110" s="857"/>
      <c r="B110" s="858" t="s">
        <v>466</v>
      </c>
      <c r="C110" s="858" t="s">
        <v>467</v>
      </c>
      <c r="D110" s="785" t="s">
        <v>468</v>
      </c>
      <c r="E110" s="851">
        <v>43616.0</v>
      </c>
      <c r="F110" s="565" t="s">
        <v>1573</v>
      </c>
      <c r="G110" s="842" t="s">
        <v>514</v>
      </c>
      <c r="H110" s="565" t="s">
        <v>1574</v>
      </c>
      <c r="I110" s="565" t="s">
        <v>1575</v>
      </c>
      <c r="J110" s="232" t="s">
        <v>1576</v>
      </c>
      <c r="K110" s="589" t="s">
        <v>1558</v>
      </c>
      <c r="L110" s="235" t="s">
        <v>1573</v>
      </c>
      <c r="M110" s="237" t="s">
        <v>280</v>
      </c>
      <c r="N110" s="589" t="s">
        <v>1577</v>
      </c>
      <c r="O110" s="589"/>
    </row>
    <row r="111">
      <c r="A111" s="859">
        <v>43594.468209189814</v>
      </c>
      <c r="B111" s="860" t="s">
        <v>1614</v>
      </c>
      <c r="C111" s="860" t="s">
        <v>1615</v>
      </c>
      <c r="D111" s="860" t="s">
        <v>1616</v>
      </c>
      <c r="E111" s="851">
        <v>43617.0</v>
      </c>
      <c r="F111" s="535" t="s">
        <v>1617</v>
      </c>
      <c r="G111" s="537" t="str">
        <f>HYPERLINK("https://www.eventbrite.com/e/izoneilearnnyc-do-more-with-office-2016-ltg-1319-tickets-59850572674","Register Here")</f>
        <v>Register Here</v>
      </c>
      <c r="H111" s="70" t="s">
        <v>766</v>
      </c>
      <c r="I111" s="535" t="s">
        <v>1618</v>
      </c>
      <c r="J111" s="535" t="s">
        <v>551</v>
      </c>
      <c r="K111" s="535" t="s">
        <v>1619</v>
      </c>
      <c r="L111" s="599" t="str">
        <f>HYPERLINK("https://www.eventbrite.com/e/izoneilearnnyc-do-more-with-office-2016-ltg-1319-tickets-59850572674","Do More with Office")</f>
        <v>Do More with Office</v>
      </c>
      <c r="M111" s="535" t="s">
        <v>221</v>
      </c>
      <c r="N111" s="686" t="s">
        <v>1620</v>
      </c>
      <c r="O111" s="686"/>
    </row>
    <row r="112">
      <c r="A112" s="857"/>
      <c r="B112" s="858" t="s">
        <v>466</v>
      </c>
      <c r="C112" s="858" t="s">
        <v>467</v>
      </c>
      <c r="D112" s="785" t="s">
        <v>468</v>
      </c>
      <c r="E112" s="851">
        <v>43619.0</v>
      </c>
      <c r="F112" s="565" t="s">
        <v>1578</v>
      </c>
      <c r="G112" s="842" t="s">
        <v>514</v>
      </c>
      <c r="H112" s="565" t="s">
        <v>1574</v>
      </c>
      <c r="I112" s="565" t="s">
        <v>1575</v>
      </c>
      <c r="J112" s="232" t="s">
        <v>1576</v>
      </c>
      <c r="K112" s="589" t="s">
        <v>1558</v>
      </c>
      <c r="L112" s="235" t="s">
        <v>1578</v>
      </c>
      <c r="M112" s="237" t="s">
        <v>280</v>
      </c>
      <c r="N112" s="589" t="s">
        <v>1579</v>
      </c>
      <c r="O112" s="589"/>
    </row>
    <row r="113">
      <c r="A113" s="857"/>
      <c r="B113" s="858" t="s">
        <v>466</v>
      </c>
      <c r="C113" s="858" t="s">
        <v>467</v>
      </c>
      <c r="D113" s="785" t="s">
        <v>468</v>
      </c>
      <c r="E113" s="851">
        <v>43621.0</v>
      </c>
      <c r="F113" s="589" t="s">
        <v>1585</v>
      </c>
      <c r="G113" s="842" t="str">
        <f>HYPERLINK("https://bit.ly/2U1DUgp","Register here")</f>
        <v>Register here</v>
      </c>
      <c r="H113" s="565" t="s">
        <v>1574</v>
      </c>
      <c r="I113" s="565" t="s">
        <v>1575</v>
      </c>
      <c r="J113" s="232" t="s">
        <v>1576</v>
      </c>
      <c r="K113" s="589" t="s">
        <v>1558</v>
      </c>
      <c r="L113" s="235" t="s">
        <v>1585</v>
      </c>
      <c r="M113" s="237" t="s">
        <v>280</v>
      </c>
      <c r="N113" s="589" t="s">
        <v>1586</v>
      </c>
      <c r="O113" s="589"/>
    </row>
    <row r="114">
      <c r="A114" s="857"/>
      <c r="B114" s="858"/>
      <c r="C114" s="858"/>
      <c r="D114" s="785"/>
      <c r="E114" s="851">
        <v>43622.0</v>
      </c>
      <c r="F114" s="589" t="s">
        <v>1621</v>
      </c>
      <c r="G114" s="861" t="str">
        <f>HYPERLINK("http://Bit.ly/newslitcampWSJ","Register Here")</f>
        <v>Register Here</v>
      </c>
      <c r="H114" s="565" t="s">
        <v>1622</v>
      </c>
      <c r="I114" s="565" t="s">
        <v>1623</v>
      </c>
      <c r="J114" s="232" t="s">
        <v>1624</v>
      </c>
      <c r="K114" s="589" t="s">
        <v>1625</v>
      </c>
      <c r="L114" s="235"/>
      <c r="M114" s="237" t="s">
        <v>221</v>
      </c>
      <c r="N114" s="589" t="s">
        <v>1626</v>
      </c>
      <c r="O114" s="589"/>
    </row>
    <row r="115">
      <c r="A115" s="857"/>
      <c r="B115" s="858" t="s">
        <v>466</v>
      </c>
      <c r="C115" s="858" t="s">
        <v>467</v>
      </c>
      <c r="D115" s="785" t="s">
        <v>468</v>
      </c>
      <c r="E115" s="851">
        <v>43622.0</v>
      </c>
      <c r="F115" s="589" t="s">
        <v>1585</v>
      </c>
      <c r="G115" s="842" t="s">
        <v>514</v>
      </c>
      <c r="H115" s="565" t="s">
        <v>1574</v>
      </c>
      <c r="I115" s="565" t="s">
        <v>1575</v>
      </c>
      <c r="J115" s="232" t="s">
        <v>1576</v>
      </c>
      <c r="K115" s="589" t="s">
        <v>1558</v>
      </c>
      <c r="L115" s="235" t="s">
        <v>1585</v>
      </c>
      <c r="M115" s="237" t="s">
        <v>280</v>
      </c>
      <c r="N115" s="589" t="s">
        <v>1586</v>
      </c>
      <c r="O115" s="589"/>
    </row>
    <row r="116">
      <c r="A116" s="857"/>
      <c r="B116" s="858"/>
      <c r="C116" s="858"/>
      <c r="D116" s="785"/>
      <c r="E116" s="851">
        <v>43622.0</v>
      </c>
      <c r="F116" s="589" t="s">
        <v>1627</v>
      </c>
      <c r="G116" s="842" t="str">
        <f>HYPERLINK("https://www.eventbrite.com/e/izoneilearnnyc-end-of-year-symposium-june-6th-2019-tickets-61231579302","Register here")</f>
        <v>Register here</v>
      </c>
      <c r="H116" s="565" t="s">
        <v>1628</v>
      </c>
      <c r="I116" s="565" t="s">
        <v>1629</v>
      </c>
      <c r="J116" s="232" t="s">
        <v>551</v>
      </c>
      <c r="K116" s="589" t="s">
        <v>1560</v>
      </c>
      <c r="L116" s="243" t="str">
        <f>HYPERLINK("https://www.eventbrite.com/e/izoneilearnnyc-end-of-year-symposium-june-6th-2019-tickets-61231579302","iZone/iLearnNYC End of Year Symposium")</f>
        <v>iZone/iLearnNYC End of Year Symposium</v>
      </c>
      <c r="M116" s="237" t="s">
        <v>221</v>
      </c>
      <c r="N116" s="589" t="s">
        <v>1630</v>
      </c>
      <c r="O116" s="589"/>
    </row>
    <row r="117">
      <c r="A117" s="857"/>
      <c r="B117" s="858" t="s">
        <v>466</v>
      </c>
      <c r="C117" s="858" t="s">
        <v>467</v>
      </c>
      <c r="D117" s="785" t="s">
        <v>468</v>
      </c>
      <c r="E117" s="851">
        <v>43623.0</v>
      </c>
      <c r="F117" s="589" t="s">
        <v>1585</v>
      </c>
      <c r="G117" s="842" t="s">
        <v>514</v>
      </c>
      <c r="H117" s="565" t="s">
        <v>1574</v>
      </c>
      <c r="I117" s="565" t="s">
        <v>1575</v>
      </c>
      <c r="J117" s="232" t="s">
        <v>1576</v>
      </c>
      <c r="K117" s="589" t="s">
        <v>1558</v>
      </c>
      <c r="L117" s="235" t="s">
        <v>1585</v>
      </c>
      <c r="M117" s="237" t="s">
        <v>280</v>
      </c>
      <c r="N117" s="589" t="s">
        <v>1586</v>
      </c>
      <c r="O117" s="589"/>
    </row>
    <row r="118">
      <c r="A118" s="857"/>
      <c r="B118" s="858"/>
      <c r="C118" s="858"/>
      <c r="D118" s="785"/>
      <c r="E118" s="851">
        <v>43624.0</v>
      </c>
      <c r="F118" s="589" t="s">
        <v>1631</v>
      </c>
      <c r="G118" s="842" t="str">
        <f>HYPERLINK("https://www.eventbrite.com/e/izoneilearnnyc-mie-teacher-academy-using-microsoft-teams-ltg-31-tickets-59849743193","Register here")</f>
        <v>Register here</v>
      </c>
      <c r="H118" s="565" t="s">
        <v>1632</v>
      </c>
      <c r="I118" s="565" t="s">
        <v>1633</v>
      </c>
      <c r="J118" s="232" t="s">
        <v>551</v>
      </c>
      <c r="K118" s="589" t="s">
        <v>1619</v>
      </c>
      <c r="L118" s="862" t="str">
        <f>HYPERLINK("https://www.eventbrite.com/e/izoneilearnnyc-mie-teacher-academy-using-microsoft-teams-ltg-31-tickets-59849743193","MIE Teacher Academy using Microsoft Teams")</f>
        <v>MIE Teacher Academy using Microsoft Teams</v>
      </c>
      <c r="M118" s="237" t="s">
        <v>221</v>
      </c>
      <c r="N118" s="589" t="s">
        <v>1634</v>
      </c>
      <c r="O118" s="589"/>
    </row>
    <row r="119">
      <c r="A119" s="857"/>
      <c r="B119" s="858"/>
      <c r="C119" s="858"/>
      <c r="D119" s="785"/>
      <c r="E119" s="851">
        <v>43624.0</v>
      </c>
      <c r="F119" s="589" t="s">
        <v>1631</v>
      </c>
      <c r="G119" s="842" t="str">
        <f>HYPERLINK("https://www.eventbrite.com/e/izoneilearnnyc-mie-teacher-academy-using-microsoft-teams-ltg-1319-tickets-59850381101","Register here")</f>
        <v>Register here</v>
      </c>
      <c r="H119" s="565" t="s">
        <v>1628</v>
      </c>
      <c r="I119" s="565" t="s">
        <v>1633</v>
      </c>
      <c r="J119" s="232" t="s">
        <v>551</v>
      </c>
      <c r="K119" s="589" t="s">
        <v>1619</v>
      </c>
      <c r="L119" s="862" t="s">
        <v>1631</v>
      </c>
      <c r="M119" s="237" t="s">
        <v>221</v>
      </c>
      <c r="N119" s="589" t="s">
        <v>1634</v>
      </c>
      <c r="O119" s="589"/>
    </row>
    <row r="120">
      <c r="A120" s="857"/>
      <c r="B120" s="858" t="s">
        <v>466</v>
      </c>
      <c r="C120" s="858" t="s">
        <v>467</v>
      </c>
      <c r="D120" s="785" t="s">
        <v>468</v>
      </c>
      <c r="E120" s="851">
        <v>43626.0</v>
      </c>
      <c r="F120" s="589" t="s">
        <v>1595</v>
      </c>
      <c r="G120" s="842" t="s">
        <v>514</v>
      </c>
      <c r="H120" s="565" t="s">
        <v>1574</v>
      </c>
      <c r="I120" s="565" t="s">
        <v>1575</v>
      </c>
      <c r="J120" s="232" t="s">
        <v>1576</v>
      </c>
      <c r="K120" s="589" t="s">
        <v>1558</v>
      </c>
      <c r="L120" s="235" t="s">
        <v>1595</v>
      </c>
      <c r="M120" s="237" t="s">
        <v>280</v>
      </c>
      <c r="N120" s="589" t="s">
        <v>1596</v>
      </c>
      <c r="O120" s="589"/>
    </row>
    <row r="121">
      <c r="A121" s="857"/>
      <c r="B121" s="858" t="s">
        <v>466</v>
      </c>
      <c r="C121" s="858" t="s">
        <v>467</v>
      </c>
      <c r="D121" s="785" t="s">
        <v>468</v>
      </c>
      <c r="E121" s="851">
        <v>43627.0</v>
      </c>
      <c r="F121" s="589" t="s">
        <v>1595</v>
      </c>
      <c r="G121" s="235" t="s">
        <v>514</v>
      </c>
      <c r="H121" s="565" t="s">
        <v>1574</v>
      </c>
      <c r="I121" s="565" t="s">
        <v>1575</v>
      </c>
      <c r="J121" s="232" t="s">
        <v>1576</v>
      </c>
      <c r="K121" s="589" t="s">
        <v>1558</v>
      </c>
      <c r="L121" s="235" t="s">
        <v>1595</v>
      </c>
      <c r="M121" s="237" t="s">
        <v>280</v>
      </c>
      <c r="N121" s="589" t="s">
        <v>1596</v>
      </c>
      <c r="O121" s="589"/>
    </row>
    <row r="122">
      <c r="A122" s="761"/>
      <c r="B122" s="539"/>
      <c r="C122" s="539"/>
      <c r="D122" s="539"/>
      <c r="E122" s="666">
        <v>43627.0</v>
      </c>
      <c r="F122" s="70" t="s">
        <v>1407</v>
      </c>
      <c r="G122" s="586" t="str">
        <f>HYPERLINK("https://www.surveygizmo.com/s3/2325967/SPOC-PD-Registration","Register Here")</f>
        <v>Register Here</v>
      </c>
      <c r="H122" s="70" t="s">
        <v>1635</v>
      </c>
      <c r="I122" s="70" t="s">
        <v>226</v>
      </c>
      <c r="J122" s="541" t="s">
        <v>116</v>
      </c>
      <c r="K122" s="70" t="s">
        <v>219</v>
      </c>
      <c r="L122" s="554" t="str">
        <f>HYPERLINK("https://drive.google.com/open?id=16rMmVYxkbDNBGVYNyzpHCx-A-n4TUprP","SPOC Meet-up")</f>
        <v>SPOC Meet-up</v>
      </c>
      <c r="M122" s="545" t="s">
        <v>221</v>
      </c>
      <c r="N122" s="70" t="s">
        <v>222</v>
      </c>
      <c r="O122" s="70"/>
    </row>
    <row r="123" ht="70.5" customHeight="1">
      <c r="A123" s="761"/>
      <c r="B123" s="539"/>
      <c r="C123" s="539"/>
      <c r="D123" s="539"/>
      <c r="E123" s="666">
        <v>43628.0</v>
      </c>
      <c r="F123" s="70" t="s">
        <v>513</v>
      </c>
      <c r="G123" s="586" t="str">
        <f>HYPERLINK("https://events.apple.com/content/events/us_education/us/en/everyone-can-create---land.html?token=9uJ0ePUDKAxaPzSHvvVQl37_5e4wsRX7FbRe_8e7pLtSR2Mp80cjCiQjUs2kUckUaMP0yCfNwPdX9vSVgNNoTazkIb6PjwtfXSjydioVfz5W3x-wTZXjoNujx-T-lZgI&amp;a=1&amp;l=e","Register here")</f>
        <v>Register here</v>
      </c>
      <c r="H123" s="232" t="s">
        <v>470</v>
      </c>
      <c r="I123" s="232" t="s">
        <v>471</v>
      </c>
      <c r="J123" s="541" t="s">
        <v>472</v>
      </c>
      <c r="K123" s="70" t="s">
        <v>1636</v>
      </c>
      <c r="L123" s="554" t="str">
        <f>HYPERLINK("https://www.apple.com/education/everyone-can-create/","Everyone Can Create")</f>
        <v>Everyone Can Create</v>
      </c>
      <c r="M123" s="545" t="s">
        <v>280</v>
      </c>
      <c r="N123" s="70" t="s">
        <v>1637</v>
      </c>
      <c r="O123" s="70"/>
    </row>
    <row r="124" ht="49.5" customHeight="1">
      <c r="A124" s="761"/>
      <c r="B124" s="539"/>
      <c r="C124" s="539"/>
      <c r="D124" s="539"/>
      <c r="E124" s="666">
        <v>43633.0</v>
      </c>
      <c r="F124" s="70" t="s">
        <v>235</v>
      </c>
      <c r="G124" s="586" t="str">
        <f t="shared" ref="G124:G125" si="10">HYPERLINK("https://www.surveygizmo.com/s3/2325967/SPOC-PD-Registration","Register Here")</f>
        <v>Register Here</v>
      </c>
      <c r="H124" s="70" t="s">
        <v>237</v>
      </c>
      <c r="I124" s="70" t="s">
        <v>226</v>
      </c>
      <c r="J124" s="541" t="s">
        <v>116</v>
      </c>
      <c r="K124" s="70" t="s">
        <v>219</v>
      </c>
      <c r="L124" s="554" t="str">
        <f>HYPERLINK("https://teams.microsoft.com/l/file/CF2A6E4C-681A-4348-B763-C4E73EF1D5AF?tenantId=18492cb7-ef45-4561-8571-0c42e5f7ac07&amp;fileType=pdf&amp;objectUrl=https%3A%2F%2Fnycdoe.sharepoint.com%2Fsites%2Fdiitfieldoperations%2FShared%20Documents%2FSPOC%20PD%2FSPOC%20meet%2"&amp;"0ups%2FJune%2017th%20Staten%20Island%20SPOC%20Meet-Up.pdf&amp;baseUrl=https%3A%2F%2Fnycdoe.sharepoint.com%2Fsites%2Fdiitfieldoperations&amp;serviceName=teams&amp;threadId=19:a5a84edb39334b9abc2c806b706190aa@thread.skype&amp;groupId=2b14b53b-f795-4d0d-bbd9-c17cd5144235","SPOC Meet-up")</f>
        <v>SPOC Meet-up</v>
      </c>
      <c r="M124" s="545" t="s">
        <v>221</v>
      </c>
      <c r="N124" s="70" t="s">
        <v>222</v>
      </c>
      <c r="O124" s="70"/>
    </row>
    <row r="125">
      <c r="A125" s="761"/>
      <c r="B125" s="539"/>
      <c r="C125" s="539"/>
      <c r="D125" s="539"/>
      <c r="E125" s="666">
        <v>43636.0</v>
      </c>
      <c r="F125" s="70" t="s">
        <v>1407</v>
      </c>
      <c r="G125" s="586" t="str">
        <f t="shared" si="10"/>
        <v>Register Here</v>
      </c>
      <c r="H125" s="70" t="s">
        <v>1638</v>
      </c>
      <c r="I125" s="70" t="s">
        <v>226</v>
      </c>
      <c r="J125" s="541" t="s">
        <v>116</v>
      </c>
      <c r="K125" s="70" t="s">
        <v>219</v>
      </c>
      <c r="L125" s="554" t="str">
        <f>HYPERLINK("https://drive.google.com/open?id=16rMmVYxkbDNBGVYNyzpHCx-A-n4TUprP","SPOC Meet-up")</f>
        <v>SPOC Meet-up</v>
      </c>
      <c r="M125" s="545" t="s">
        <v>221</v>
      </c>
      <c r="N125" s="70" t="s">
        <v>1639</v>
      </c>
      <c r="O125" s="70"/>
    </row>
    <row r="126">
      <c r="A126" s="761"/>
      <c r="B126" s="539"/>
      <c r="C126" s="539"/>
      <c r="D126" s="539"/>
      <c r="E126" s="666">
        <v>43636.0</v>
      </c>
      <c r="F126" s="836" t="s">
        <v>1599</v>
      </c>
      <c r="G126" s="586" t="str">
        <f>HYPERLINK("https://nam01.safelinks.protection.outlook.com/?url=https%3A%2F%2Fwww.eventbrite.com%2Fe%2Fgetting-started-with-3d-printing-with-makerbot-tickets-59855056084&amp;data=02%7C01%7CNSchepi%40schools.nyc.gov%7C66bebdd6306443f92fb908d6b87dff90%7C18492cb7ef454561857"&amp;"10c42e5f7ac07%7C0%7C0%7C636899248640651512&amp;sdata=YsP5JcmfSY2Tp5suBZh%2B2%2FM4MSDI54UmcZHOnb6FdzQ%3D&amp;reserved=0","Register Here")</f>
        <v>Register Here</v>
      </c>
      <c r="H126" s="70" t="s">
        <v>1640</v>
      </c>
      <c r="I126" s="863" t="s">
        <v>1601</v>
      </c>
      <c r="J126" s="541" t="s">
        <v>1602</v>
      </c>
      <c r="K126" s="70" t="s">
        <v>1560</v>
      </c>
      <c r="L126" s="572" t="s">
        <v>1567</v>
      </c>
      <c r="M126" s="545" t="s">
        <v>221</v>
      </c>
      <c r="N126" s="70" t="s">
        <v>1641</v>
      </c>
      <c r="O126" s="70"/>
    </row>
    <row r="127">
      <c r="A127" s="761"/>
      <c r="B127" s="539"/>
      <c r="C127" s="539"/>
      <c r="D127" s="539"/>
      <c r="E127" s="666">
        <v>43637.0</v>
      </c>
      <c r="F127" s="836" t="s">
        <v>1138</v>
      </c>
      <c r="G127" s="586" t="str">
        <f>HYPERLINK("https://docs.google.com/a/nycspocs.org/forms/d/e/1FAIpQLSdNymT_nsTxOP3T9GsbSMEgKj2trVdBxCFmGQi4DrDiyoy1aA/viewform","Register Here")</f>
        <v>Register Here</v>
      </c>
      <c r="H127" s="70" t="s">
        <v>1642</v>
      </c>
      <c r="I127" s="70" t="s">
        <v>226</v>
      </c>
      <c r="J127" s="541" t="s">
        <v>1643</v>
      </c>
      <c r="K127" s="70" t="s">
        <v>1644</v>
      </c>
      <c r="L127" s="554" t="str">
        <f>HYPERLINK("https://docs.google.com/document/d/1bCC1Nf76Uq5rcS1zTEe8fT25uvcb_yTOAYFpHQh8XkA/edit","Draft Agenda")</f>
        <v>Draft Agenda</v>
      </c>
      <c r="M127" s="545" t="s">
        <v>221</v>
      </c>
      <c r="N127" s="70" t="s">
        <v>1645</v>
      </c>
      <c r="O127" s="70"/>
    </row>
    <row r="128">
      <c r="A128" s="540"/>
      <c r="B128" s="223"/>
      <c r="C128" s="223"/>
      <c r="D128" s="233"/>
      <c r="E128" s="223" t="s">
        <v>1646</v>
      </c>
      <c r="F128" s="223" t="s">
        <v>1647</v>
      </c>
      <c r="G128" s="243" t="s">
        <v>1648</v>
      </c>
      <c r="H128" s="232" t="s">
        <v>1649</v>
      </c>
      <c r="I128" s="232" t="s">
        <v>1650</v>
      </c>
      <c r="J128" s="232" t="s">
        <v>116</v>
      </c>
      <c r="K128" s="223" t="s">
        <v>1651</v>
      </c>
      <c r="L128" s="243" t="str">
        <f>HYPERLINK("https://www.facebook.com/events/2156877024603869/","Event page")</f>
        <v>Event page</v>
      </c>
      <c r="M128" s="237" t="s">
        <v>280</v>
      </c>
      <c r="N128" s="223" t="s">
        <v>1652</v>
      </c>
      <c r="O128" s="223" t="s">
        <v>428</v>
      </c>
    </row>
    <row r="129">
      <c r="A129" s="864"/>
      <c r="B129" s="709"/>
      <c r="C129" s="709"/>
      <c r="D129" s="865"/>
      <c r="E129" s="851">
        <v>43660.0</v>
      </c>
      <c r="F129" s="223" t="s">
        <v>1653</v>
      </c>
      <c r="G129" s="243" t="s">
        <v>1654</v>
      </c>
      <c r="H129" s="232" t="s">
        <v>1655</v>
      </c>
      <c r="I129" s="232" t="s">
        <v>1656</v>
      </c>
      <c r="J129" s="232" t="s">
        <v>1657</v>
      </c>
      <c r="K129" s="223" t="s">
        <v>1658</v>
      </c>
      <c r="L129" s="236" t="s">
        <v>1659</v>
      </c>
      <c r="M129" s="237" t="s">
        <v>280</v>
      </c>
      <c r="N129" s="223" t="s">
        <v>1660</v>
      </c>
      <c r="O129" s="223" t="s">
        <v>428</v>
      </c>
    </row>
    <row r="130">
      <c r="A130" s="864"/>
      <c r="B130" s="709" t="s">
        <v>466</v>
      </c>
      <c r="C130" s="709" t="s">
        <v>467</v>
      </c>
      <c r="D130" s="865" t="s">
        <v>468</v>
      </c>
      <c r="E130" s="851">
        <v>43662.0</v>
      </c>
      <c r="F130" s="223" t="s">
        <v>492</v>
      </c>
      <c r="G130" s="243" t="str">
        <f>HYPERLINK("http://tinyurl.com/yxps9vtn","Register here")</f>
        <v>Register here</v>
      </c>
      <c r="H130" s="232" t="s">
        <v>470</v>
      </c>
      <c r="I130" s="232" t="s">
        <v>471</v>
      </c>
      <c r="J130" s="232" t="s">
        <v>472</v>
      </c>
      <c r="K130" s="223" t="s">
        <v>1558</v>
      </c>
      <c r="L130" s="866" t="s">
        <v>492</v>
      </c>
      <c r="M130" s="237" t="s">
        <v>280</v>
      </c>
      <c r="N130" s="223" t="s">
        <v>1661</v>
      </c>
      <c r="O130" s="223"/>
    </row>
    <row r="131">
      <c r="A131" s="751">
        <v>43630.3872515625</v>
      </c>
      <c r="B131" s="867" t="s">
        <v>1049</v>
      </c>
      <c r="C131" s="868" t="s">
        <v>1050</v>
      </c>
      <c r="D131" s="869" t="s">
        <v>1051</v>
      </c>
      <c r="E131" s="870">
        <v>43663.0</v>
      </c>
      <c r="F131" s="541" t="s">
        <v>1662</v>
      </c>
      <c r="G131" s="871" t="s">
        <v>1663</v>
      </c>
      <c r="H131" s="100" t="s">
        <v>995</v>
      </c>
      <c r="I131" s="100" t="s">
        <v>1664</v>
      </c>
      <c r="J131" s="100" t="s">
        <v>997</v>
      </c>
      <c r="K131" s="541" t="s">
        <v>402</v>
      </c>
      <c r="L131" s="872" t="str">
        <f>HYPERLINK("https://docs.google.com/spreadsheets/d/12X-61HfLBxTxAESoAea0X2I4K1R-valRhC9TIkvFTzs/edit#gid=0","Agenda")</f>
        <v>Agenda</v>
      </c>
      <c r="M131" s="97" t="s">
        <v>221</v>
      </c>
      <c r="N131" s="541" t="s">
        <v>1092</v>
      </c>
      <c r="O131" s="223" t="s">
        <v>428</v>
      </c>
    </row>
    <row r="132">
      <c r="A132" s="761"/>
      <c r="B132" s="539"/>
      <c r="C132" s="539"/>
      <c r="D132" s="539"/>
      <c r="E132" s="666">
        <v>43663.0</v>
      </c>
      <c r="F132" s="836" t="s">
        <v>1138</v>
      </c>
      <c r="G132" s="586" t="str">
        <f>HYPERLINK("https://docs.google.com/a/nycspocs.org/forms/d/e/1FAIpQLSdNymT_nsTxOP3T9GsbSMEgKj2trVdBxCFmGQi4DrDiyoy1aA/viewform","Register Here")</f>
        <v>Register Here</v>
      </c>
      <c r="H132" s="70" t="s">
        <v>1642</v>
      </c>
      <c r="I132" s="70" t="s">
        <v>226</v>
      </c>
      <c r="J132" s="541" t="s">
        <v>1643</v>
      </c>
      <c r="K132" s="70" t="s">
        <v>1644</v>
      </c>
      <c r="L132" s="554" t="str">
        <f>HYPERLINK("https://docs.google.com/document/d/1bCC1Nf76Uq5rcS1zTEe8fT25uvcb_yTOAYFpHQh8XkA/edit","Draft Agenda")</f>
        <v>Draft Agenda</v>
      </c>
      <c r="M132" s="545" t="s">
        <v>221</v>
      </c>
      <c r="N132" s="70" t="s">
        <v>1645</v>
      </c>
      <c r="O132" s="70"/>
    </row>
    <row r="133" ht="40.5" customHeight="1">
      <c r="A133" s="638"/>
      <c r="B133" s="70"/>
      <c r="C133" s="70"/>
      <c r="D133" s="70"/>
      <c r="E133" s="666">
        <v>43670.0</v>
      </c>
      <c r="F133" s="70" t="s">
        <v>1665</v>
      </c>
      <c r="G133" s="586" t="str">
        <f>HYPERLINK("https://script.google.com/macros/s/AKfycbz4AthfjpkN8d_pttRsnKfYnsQp_Fal9N5O4tHpQX6Q-Hm58oo/exec?instance=Queens+North+PL+System&amp;id=212AP19","Register Here")</f>
        <v>Register Here</v>
      </c>
      <c r="H133" s="70" t="s">
        <v>1666</v>
      </c>
      <c r="I133" s="70" t="s">
        <v>1667</v>
      </c>
      <c r="J133" s="541" t="s">
        <v>1668</v>
      </c>
      <c r="K133" s="541" t="s">
        <v>402</v>
      </c>
      <c r="L133" s="554" t="str">
        <f>HYPERLINK("https://script.google.com/macros/s/AKfycbz4AthfjpkN8d_pttRsnKfYnsQp_Fal9N5O4tHpQX6Q-Hm58oo/exec?instance=Queens+North+PL+System&amp;id=212AP19","Event page")</f>
        <v>Event page</v>
      </c>
      <c r="M133" s="545" t="s">
        <v>221</v>
      </c>
      <c r="N133" s="70" t="s">
        <v>1669</v>
      </c>
      <c r="O133" s="223" t="s">
        <v>428</v>
      </c>
    </row>
    <row r="134">
      <c r="A134" s="819"/>
      <c r="B134" s="820" t="s">
        <v>466</v>
      </c>
      <c r="C134" s="820" t="s">
        <v>467</v>
      </c>
      <c r="D134" s="821" t="s">
        <v>468</v>
      </c>
      <c r="E134" s="762">
        <v>43675.0</v>
      </c>
      <c r="F134" s="565" t="s">
        <v>1670</v>
      </c>
      <c r="G134" s="828" t="str">
        <f>HYPERLINK("http://s.apple.com/dE3a4p6g2B","Register Here")</f>
        <v>Register Here</v>
      </c>
      <c r="H134" s="220" t="s">
        <v>470</v>
      </c>
      <c r="I134" s="220" t="s">
        <v>471</v>
      </c>
      <c r="J134" s="230" t="s">
        <v>472</v>
      </c>
      <c r="K134" s="220" t="s">
        <v>1024</v>
      </c>
      <c r="L134" s="828" t="str">
        <f>HYPERLINK("http://s.apple.com/dE3a4p6g2B","Agenda")</f>
        <v>Agenda</v>
      </c>
      <c r="M134" s="230" t="s">
        <v>280</v>
      </c>
      <c r="N134" s="589" t="s">
        <v>1474</v>
      </c>
      <c r="O134" s="589" t="s">
        <v>1671</v>
      </c>
    </row>
    <row r="135">
      <c r="A135" s="822"/>
      <c r="B135" s="823" t="s">
        <v>466</v>
      </c>
      <c r="C135" s="824" t="s">
        <v>467</v>
      </c>
      <c r="D135" s="825" t="s">
        <v>468</v>
      </c>
      <c r="E135" s="762">
        <v>43676.0</v>
      </c>
      <c r="F135" s="565" t="s">
        <v>1670</v>
      </c>
      <c r="G135" s="828" t="str">
        <f>HYPERLINK("http://s.apple.com/dE0z3C4A6b","Register Here")</f>
        <v>Register Here</v>
      </c>
      <c r="H135" s="220" t="s">
        <v>470</v>
      </c>
      <c r="I135" s="220" t="s">
        <v>471</v>
      </c>
      <c r="J135" s="230" t="s">
        <v>472</v>
      </c>
      <c r="K135" s="220" t="s">
        <v>1024</v>
      </c>
      <c r="L135" s="828" t="str">
        <f>HYPERLINK("http://s.apple.com/dE0z3C4A6b","Agenda")</f>
        <v>Agenda</v>
      </c>
      <c r="M135" s="230" t="s">
        <v>280</v>
      </c>
      <c r="N135" s="589" t="s">
        <v>1474</v>
      </c>
      <c r="O135" s="589" t="s">
        <v>1671</v>
      </c>
    </row>
    <row r="136">
      <c r="A136" s="873"/>
      <c r="B136" s="874"/>
      <c r="C136" s="875"/>
      <c r="D136" s="876"/>
      <c r="E136" s="666">
        <v>43677.0</v>
      </c>
      <c r="F136" s="70" t="s">
        <v>959</v>
      </c>
      <c r="G136" s="586" t="str">
        <f>HYPERLINK("https://cms.erepublic.com/common/resources?appCore=/common/forms/ajax_event/105332&amp;product_id=105332","Register Here")</f>
        <v>Register Here</v>
      </c>
      <c r="H136" s="70" t="s">
        <v>1672</v>
      </c>
      <c r="I136" s="70" t="s">
        <v>962</v>
      </c>
      <c r="J136" s="541" t="s">
        <v>1673</v>
      </c>
      <c r="K136" s="70" t="s">
        <v>1674</v>
      </c>
      <c r="L136" s="554" t="str">
        <f>HYPERLINK("https://www.schooltechnologysummit.com/schedule","Schedule for day")</f>
        <v>Schedule for day</v>
      </c>
      <c r="M136" s="545" t="s">
        <v>221</v>
      </c>
      <c r="N136" s="70" t="s">
        <v>1675</v>
      </c>
      <c r="O136" s="223" t="s">
        <v>428</v>
      </c>
    </row>
    <row r="137">
      <c r="A137" s="819"/>
      <c r="B137" s="820" t="s">
        <v>466</v>
      </c>
      <c r="C137" s="820" t="s">
        <v>467</v>
      </c>
      <c r="D137" s="821" t="s">
        <v>468</v>
      </c>
      <c r="E137" s="762">
        <v>43678.0</v>
      </c>
      <c r="F137" s="565" t="s">
        <v>1670</v>
      </c>
      <c r="G137" s="828" t="str">
        <f>HYPERLINK("http://s.apple.com/dE0z7U7z8v","Register Here")</f>
        <v>Register Here</v>
      </c>
      <c r="H137" s="220" t="s">
        <v>470</v>
      </c>
      <c r="I137" s="220" t="s">
        <v>471</v>
      </c>
      <c r="J137" s="230" t="s">
        <v>472</v>
      </c>
      <c r="K137" s="220" t="s">
        <v>1024</v>
      </c>
      <c r="L137" s="828" t="str">
        <f>HYPERLINK("http://s.apple.com/dE0z7U7z8v","Agenda")</f>
        <v>Agenda</v>
      </c>
      <c r="M137" s="230" t="s">
        <v>280</v>
      </c>
      <c r="N137" s="589" t="s">
        <v>1474</v>
      </c>
      <c r="O137" s="589" t="s">
        <v>1671</v>
      </c>
    </row>
    <row r="138">
      <c r="A138" s="877"/>
      <c r="B138" s="878" t="s">
        <v>466</v>
      </c>
      <c r="C138" s="879" t="s">
        <v>467</v>
      </c>
      <c r="D138" s="880" t="s">
        <v>468</v>
      </c>
      <c r="E138" s="841">
        <v>43679.0</v>
      </c>
      <c r="F138" s="565" t="s">
        <v>1670</v>
      </c>
      <c r="G138" s="828" t="str">
        <f>HYPERLINK("http://s.apple.com/dE0z2u8i1u","Register Here")</f>
        <v>Register Here</v>
      </c>
      <c r="H138" s="220" t="s">
        <v>470</v>
      </c>
      <c r="I138" s="220" t="s">
        <v>471</v>
      </c>
      <c r="J138" s="230" t="s">
        <v>472</v>
      </c>
      <c r="K138" s="220" t="s">
        <v>1024</v>
      </c>
      <c r="L138" s="828" t="str">
        <f>HYPERLINK("http://s.apple.com/dE0z2u8i1u","Agenda")</f>
        <v>Agenda</v>
      </c>
      <c r="M138" s="230" t="s">
        <v>280</v>
      </c>
      <c r="N138" s="589" t="s">
        <v>1474</v>
      </c>
      <c r="O138" s="589" t="s">
        <v>1671</v>
      </c>
    </row>
    <row r="139">
      <c r="A139" s="881">
        <v>43630.3872515625</v>
      </c>
      <c r="B139" s="100" t="s">
        <v>1049</v>
      </c>
      <c r="C139" s="100" t="s">
        <v>1050</v>
      </c>
      <c r="D139" s="100" t="s">
        <v>1051</v>
      </c>
      <c r="E139" s="666">
        <v>43698.0</v>
      </c>
      <c r="F139" s="541" t="s">
        <v>1662</v>
      </c>
      <c r="G139" s="872" t="str">
        <f t="shared" ref="G139:G141" si="11">HYPERLINK("https://www.echalk.com/dig-in-camps","DigIn Registration")</f>
        <v>DigIn Registration</v>
      </c>
      <c r="H139" s="541" t="s">
        <v>995</v>
      </c>
      <c r="I139" s="100" t="s">
        <v>996</v>
      </c>
      <c r="J139" s="97" t="s">
        <v>997</v>
      </c>
      <c r="K139" s="541" t="s">
        <v>402</v>
      </c>
      <c r="L139" s="668" t="str">
        <f t="shared" ref="L139:L141" si="12">HYPERLINK("https://docs.google.com/spreadsheets/d/12X-61HfLBxTxAESoAea0X2I4K1R-valRhC9TIkvFTzs/edit#gid=0","Agenda")</f>
        <v>Agenda</v>
      </c>
      <c r="M139" s="97" t="s">
        <v>221</v>
      </c>
      <c r="N139" s="541" t="s">
        <v>1092</v>
      </c>
      <c r="O139" s="223" t="s">
        <v>428</v>
      </c>
    </row>
    <row r="140">
      <c r="A140" s="881"/>
      <c r="B140" s="100" t="s">
        <v>1049</v>
      </c>
      <c r="C140" s="100" t="s">
        <v>1050</v>
      </c>
      <c r="D140" s="100" t="s">
        <v>1051</v>
      </c>
      <c r="E140" s="744">
        <v>43703.0</v>
      </c>
      <c r="F140" s="541" t="s">
        <v>1676</v>
      </c>
      <c r="G140" s="872" t="str">
        <f t="shared" si="11"/>
        <v>DigIn Registration</v>
      </c>
      <c r="H140" s="541" t="s">
        <v>995</v>
      </c>
      <c r="I140" s="100" t="s">
        <v>996</v>
      </c>
      <c r="J140" s="97" t="s">
        <v>997</v>
      </c>
      <c r="K140" s="541" t="s">
        <v>1677</v>
      </c>
      <c r="L140" s="668" t="str">
        <f t="shared" si="12"/>
        <v>Agenda</v>
      </c>
      <c r="M140" s="97" t="s">
        <v>221</v>
      </c>
      <c r="N140" s="541" t="s">
        <v>1678</v>
      </c>
      <c r="O140" s="223" t="s">
        <v>428</v>
      </c>
    </row>
    <row r="141">
      <c r="A141" s="881"/>
      <c r="B141" s="100" t="s">
        <v>1049</v>
      </c>
      <c r="C141" s="100" t="s">
        <v>1050</v>
      </c>
      <c r="D141" s="100" t="s">
        <v>1051</v>
      </c>
      <c r="E141" s="744">
        <v>43704.0</v>
      </c>
      <c r="F141" s="541" t="s">
        <v>1676</v>
      </c>
      <c r="G141" s="872" t="str">
        <f t="shared" si="11"/>
        <v>DigIn Registration</v>
      </c>
      <c r="H141" s="541" t="s">
        <v>995</v>
      </c>
      <c r="I141" s="100" t="s">
        <v>1679</v>
      </c>
      <c r="J141" s="97" t="s">
        <v>997</v>
      </c>
      <c r="K141" s="541" t="s">
        <v>1677</v>
      </c>
      <c r="L141" s="668" t="str">
        <f t="shared" si="12"/>
        <v>Agenda</v>
      </c>
      <c r="M141" s="97" t="s">
        <v>221</v>
      </c>
      <c r="N141" s="541" t="s">
        <v>1678</v>
      </c>
      <c r="O141" s="223" t="s">
        <v>428</v>
      </c>
    </row>
  </sheetData>
  <hyperlinks>
    <hyperlink r:id="rId1" ref="L2"/>
    <hyperlink r:id="rId2" ref="L3"/>
    <hyperlink r:id="rId3" ref="L4"/>
    <hyperlink r:id="rId4" ref="L5"/>
    <hyperlink r:id="rId5" ref="L11"/>
    <hyperlink r:id="rId6" ref="L13"/>
    <hyperlink r:id="rId7" ref="L14"/>
    <hyperlink r:id="rId8" ref="L21"/>
    <hyperlink r:id="rId9" ref="L22"/>
    <hyperlink r:id="rId10" ref="L24"/>
    <hyperlink r:id="rId11" ref="L26"/>
    <hyperlink r:id="rId12" ref="L32"/>
    <hyperlink r:id="rId13" ref="L39"/>
    <hyperlink r:id="rId14" ref="G43"/>
    <hyperlink r:id="rId15" ref="L43"/>
    <hyperlink r:id="rId16" ref="D57"/>
    <hyperlink r:id="rId17" ref="G65"/>
    <hyperlink r:id="rId18" ref="L65"/>
    <hyperlink r:id="rId19" ref="D68"/>
    <hyperlink r:id="rId20" ref="G68"/>
    <hyperlink r:id="rId21" ref="L68"/>
    <hyperlink r:id="rId22" ref="D76"/>
    <hyperlink r:id="rId23" ref="D85"/>
    <hyperlink r:id="rId24" ref="G85"/>
    <hyperlink r:id="rId25" ref="L85"/>
    <hyperlink r:id="rId26" ref="D86"/>
    <hyperlink r:id="rId27" ref="G86"/>
    <hyperlink r:id="rId28" ref="L86"/>
    <hyperlink r:id="rId29" ref="D87"/>
    <hyperlink r:id="rId30" ref="G87"/>
    <hyperlink r:id="rId31" ref="L87"/>
    <hyperlink r:id="rId32" ref="D88"/>
    <hyperlink r:id="rId33" ref="G88"/>
    <hyperlink r:id="rId34" ref="L88"/>
    <hyperlink r:id="rId35" ref="D89"/>
    <hyperlink r:id="rId36" ref="G89"/>
    <hyperlink r:id="rId37" ref="L89"/>
    <hyperlink r:id="rId38" ref="D90"/>
    <hyperlink r:id="rId39" ref="G90"/>
    <hyperlink r:id="rId40" ref="L90"/>
    <hyperlink r:id="rId41" ref="D92"/>
    <hyperlink r:id="rId42" ref="G92"/>
    <hyperlink r:id="rId43" ref="L92"/>
    <hyperlink r:id="rId44" ref="D93"/>
    <hyperlink r:id="rId45" ref="G93"/>
    <hyperlink r:id="rId46" ref="L93"/>
    <hyperlink r:id="rId47" ref="D94"/>
    <hyperlink r:id="rId48" ref="G94"/>
    <hyperlink r:id="rId49" ref="L94"/>
    <hyperlink r:id="rId50" ref="D97"/>
    <hyperlink r:id="rId51" ref="G97"/>
    <hyperlink r:id="rId52" ref="L97"/>
    <hyperlink r:id="rId53" ref="D98"/>
    <hyperlink r:id="rId54" ref="G98"/>
    <hyperlink r:id="rId55" ref="L98"/>
    <hyperlink r:id="rId56" ref="D105"/>
    <hyperlink r:id="rId57" ref="G105"/>
    <hyperlink r:id="rId58" ref="L105"/>
    <hyperlink r:id="rId59" ref="D108"/>
    <hyperlink r:id="rId60" ref="G108"/>
    <hyperlink r:id="rId61" ref="L108"/>
    <hyperlink r:id="rId62" ref="D109"/>
    <hyperlink r:id="rId63" ref="G109"/>
    <hyperlink r:id="rId64" ref="L109"/>
    <hyperlink r:id="rId65" ref="D110"/>
    <hyperlink r:id="rId66" ref="G110"/>
    <hyperlink r:id="rId67" ref="L110"/>
    <hyperlink r:id="rId68" ref="D112"/>
    <hyperlink r:id="rId69" ref="G112"/>
    <hyperlink r:id="rId70" ref="L112"/>
    <hyperlink r:id="rId71" ref="D113"/>
    <hyperlink r:id="rId72" ref="L113"/>
    <hyperlink r:id="rId73" ref="D115"/>
    <hyperlink r:id="rId74" ref="G115"/>
    <hyperlink r:id="rId75" ref="L115"/>
    <hyperlink r:id="rId76" ref="D117"/>
    <hyperlink r:id="rId77" ref="G117"/>
    <hyperlink r:id="rId78" ref="L117"/>
    <hyperlink display="MIE Teacher Academy using Microsoft Teams" location="General!L28" ref="L119"/>
    <hyperlink r:id="rId79" ref="D120"/>
    <hyperlink r:id="rId80" ref="G120"/>
    <hyperlink r:id="rId81" ref="L120"/>
    <hyperlink r:id="rId82" ref="D121"/>
    <hyperlink r:id="rId83" ref="G121"/>
    <hyperlink r:id="rId84" ref="L121"/>
    <hyperlink r:id="rId85" ref="G129"/>
    <hyperlink r:id="rId86" ref="L129"/>
    <hyperlink r:id="rId87" ref="D130"/>
    <hyperlink r:id="rId88" ref="L130"/>
    <hyperlink r:id="rId89" ref="G131"/>
    <hyperlink r:id="rId90" ref="D134"/>
    <hyperlink r:id="rId91" ref="D135"/>
    <hyperlink r:id="rId92" ref="D137"/>
    <hyperlink r:id="rId93" ref="D138"/>
  </hyperlinks>
  <drawing r:id="rId94"/>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4.43" defaultRowHeight="15.75"/>
  <cols>
    <col customWidth="1" hidden="1" min="1" max="1" width="21.57"/>
    <col customWidth="1" hidden="1" min="2" max="2" width="14.0"/>
    <col customWidth="1" hidden="1" min="3" max="3" width="12.86"/>
    <col customWidth="1" hidden="1" min="4" max="4" width="81.43"/>
    <col customWidth="1" min="5" max="5" width="27.71"/>
    <col customWidth="1" min="6" max="7" width="24.29"/>
    <col customWidth="1" min="8" max="8" width="31.86"/>
    <col customWidth="1" min="9" max="9" width="19.29"/>
    <col customWidth="1" min="10" max="10" width="17.86"/>
    <col customWidth="1" min="11" max="11" width="24.71"/>
    <col customWidth="1" min="12" max="12" width="20.14"/>
    <col customWidth="1" min="13" max="13" width="7.0"/>
    <col customWidth="1" min="14" max="14" width="84.86"/>
    <col customWidth="1" hidden="1" min="15" max="15" width="21.57"/>
    <col customWidth="1" min="16" max="16" width="21.57"/>
  </cols>
  <sheetData>
    <row r="1" ht="36.0" customHeight="1">
      <c r="A1" s="724" t="s">
        <v>0</v>
      </c>
      <c r="B1" s="724" t="s">
        <v>2</v>
      </c>
      <c r="C1" s="724" t="s">
        <v>4</v>
      </c>
      <c r="D1" s="724" t="s">
        <v>6</v>
      </c>
      <c r="E1" s="367" t="s">
        <v>200</v>
      </c>
      <c r="F1" s="367" t="s">
        <v>201</v>
      </c>
      <c r="G1" s="725" t="s">
        <v>202</v>
      </c>
      <c r="H1" s="726" t="s">
        <v>203</v>
      </c>
      <c r="I1" s="367" t="s">
        <v>204</v>
      </c>
      <c r="J1" s="367" t="s">
        <v>205</v>
      </c>
      <c r="K1" s="367" t="s">
        <v>206</v>
      </c>
      <c r="L1" s="725" t="s">
        <v>207</v>
      </c>
      <c r="M1" s="367" t="s">
        <v>22</v>
      </c>
      <c r="N1" s="367" t="s">
        <v>208</v>
      </c>
      <c r="O1" s="367" t="s">
        <v>209</v>
      </c>
      <c r="P1" s="367" t="s">
        <v>512</v>
      </c>
    </row>
    <row r="2">
      <c r="A2" s="727"/>
      <c r="B2" s="642"/>
      <c r="C2" s="642"/>
      <c r="D2" s="642"/>
      <c r="E2" s="728">
        <v>43908.0</v>
      </c>
      <c r="F2" s="647" t="s">
        <v>1506</v>
      </c>
      <c r="G2" s="729" t="str">
        <f>HYPERLINK("https://docs.google.com/forms/d/e/1FAIpQLSdXPFejbZMPNjI4lIEoKUbLH_0xXDyB9IXa5pCbaDegF4mhlw/viewform","Register for March 18 Accessible Wix Site")</f>
        <v>Register for March 18 Accessible Wix Site</v>
      </c>
      <c r="H2" s="730" t="s">
        <v>446</v>
      </c>
      <c r="I2" s="731" t="s">
        <v>409</v>
      </c>
      <c r="J2" s="647" t="s">
        <v>1508</v>
      </c>
      <c r="K2" s="406" t="s">
        <v>402</v>
      </c>
      <c r="L2" s="642"/>
      <c r="M2" s="642" t="s">
        <v>221</v>
      </c>
      <c r="N2" s="732" t="s">
        <v>1509</v>
      </c>
      <c r="O2" s="642"/>
      <c r="P2" s="642" t="s">
        <v>221</v>
      </c>
    </row>
    <row r="3">
      <c r="A3" s="727"/>
      <c r="B3" s="642"/>
      <c r="C3" s="642"/>
      <c r="D3" s="642"/>
      <c r="E3" s="733">
        <v>43910.0</v>
      </c>
      <c r="F3" s="647" t="s">
        <v>1506</v>
      </c>
      <c r="G3" s="729" t="str">
        <f>HYPERLINK("https://docs.google.com/forms/d/e/1FAIpQLSdXPFejbZMPNjI4lIEoKUbLH_0xXDyB9IXa5pCbaDegF4mhlw/viewform","Register for March 20 Accessible Wix Site")</f>
        <v>Register for March 20 Accessible Wix Site</v>
      </c>
      <c r="H3" s="734" t="s">
        <v>1211</v>
      </c>
      <c r="I3" s="731" t="s">
        <v>409</v>
      </c>
      <c r="J3" s="647" t="s">
        <v>1508</v>
      </c>
      <c r="K3" s="406" t="s">
        <v>402</v>
      </c>
      <c r="L3" s="642"/>
      <c r="M3" s="642" t="s">
        <v>221</v>
      </c>
      <c r="N3" s="647" t="s">
        <v>1509</v>
      </c>
      <c r="O3" s="642"/>
      <c r="P3" s="642" t="s">
        <v>221</v>
      </c>
    </row>
    <row r="4">
      <c r="A4" s="735"/>
      <c r="B4" s="736"/>
      <c r="C4" s="736"/>
      <c r="D4" s="736"/>
      <c r="E4" s="737">
        <v>43857.0</v>
      </c>
      <c r="F4" s="738" t="s">
        <v>1367</v>
      </c>
      <c r="G4" s="739" t="str">
        <f>HYPERLINK("https://docs.google.com/forms/d/e/1FAIpQLSdXPFejbZMPNjI4lIEoKUbLH_0xXDyB9IXa5pCbaDegF4mhlw/viewform","Register for Jan 27 Accessible Wordpress Site")</f>
        <v>Register for Jan 27 Accessible Wordpress Site</v>
      </c>
      <c r="H4" s="510" t="s">
        <v>431</v>
      </c>
      <c r="I4" s="740" t="s">
        <v>409</v>
      </c>
      <c r="J4" s="738" t="s">
        <v>1339</v>
      </c>
      <c r="K4" s="738" t="s">
        <v>402</v>
      </c>
      <c r="L4" s="741"/>
      <c r="M4" s="736" t="s">
        <v>221</v>
      </c>
      <c r="N4" s="742" t="s">
        <v>1370</v>
      </c>
      <c r="O4" s="743"/>
      <c r="P4" s="100" t="s">
        <v>221</v>
      </c>
    </row>
    <row r="5">
      <c r="A5" s="735"/>
      <c r="B5" s="100"/>
      <c r="C5" s="100"/>
      <c r="D5" s="100"/>
      <c r="E5" s="744">
        <v>43859.0</v>
      </c>
      <c r="F5" s="541" t="s">
        <v>1367</v>
      </c>
      <c r="G5" s="668" t="str">
        <f>HYPERLINK("https://docs.google.com/forms/d/e/1FAIpQLSdXPFejbZMPNjI4lIEoKUbLH_0xXDyB9IXa5pCbaDegF4mhlw/viewform","Register for Jan 29 Wordpress Workshop")</f>
        <v>Register for Jan 29 Wordpress Workshop</v>
      </c>
      <c r="H5" s="626" t="s">
        <v>431</v>
      </c>
      <c r="I5" s="227" t="s">
        <v>409</v>
      </c>
      <c r="J5" s="541" t="s">
        <v>1339</v>
      </c>
      <c r="K5" s="541" t="s">
        <v>402</v>
      </c>
      <c r="L5" s="745"/>
      <c r="M5" s="100" t="s">
        <v>221</v>
      </c>
      <c r="N5" s="70" t="s">
        <v>1370</v>
      </c>
      <c r="O5" s="223"/>
      <c r="P5" s="100" t="s">
        <v>221</v>
      </c>
    </row>
    <row r="6">
      <c r="A6" s="706">
        <v>43802.46776994213</v>
      </c>
      <c r="B6" s="707" t="s">
        <v>1415</v>
      </c>
      <c r="C6" s="707" t="s">
        <v>1416</v>
      </c>
      <c r="D6" s="707" t="s">
        <v>1417</v>
      </c>
      <c r="E6" s="746">
        <v>43818.0</v>
      </c>
      <c r="F6" s="707" t="s">
        <v>1520</v>
      </c>
      <c r="G6" s="687" t="str">
        <f>HYPERLINK("https://script.google.com/a/macros/strongschools.nyc/s/AKfycbz4AthfjpkN8d_pttRsnKfYnsQp_Fal9N5O4tHpQX6Q-Hm58oo/exec?instance=Staten+Island+PL+System&amp;id=281TR20","Register for Dec 19 Workshop")</f>
        <v>Register for Dec 19 Workshop</v>
      </c>
      <c r="H6" s="707" t="s">
        <v>1521</v>
      </c>
      <c r="I6" s="707" t="s">
        <v>1522</v>
      </c>
      <c r="J6" s="707" t="s">
        <v>1002</v>
      </c>
      <c r="K6" s="707" t="s">
        <v>1523</v>
      </c>
      <c r="L6" s="236" t="s">
        <v>1524</v>
      </c>
      <c r="M6" s="707" t="s">
        <v>221</v>
      </c>
      <c r="N6" s="707" t="s">
        <v>1525</v>
      </c>
      <c r="O6" s="747"/>
      <c r="P6" s="747"/>
    </row>
    <row r="7" ht="27.0" customHeight="1">
      <c r="A7" s="735" t="s">
        <v>1297</v>
      </c>
      <c r="B7" s="100"/>
      <c r="C7" s="100"/>
      <c r="D7" s="100"/>
      <c r="E7" s="744">
        <v>43840.0</v>
      </c>
      <c r="F7" s="541" t="s">
        <v>447</v>
      </c>
      <c r="G7" s="668" t="str">
        <f>HYPERLINK("https://docs.google.com/forms/d/e/1FAIpQLSdXPFejbZMPNjI4lIEoKUbLH_0xXDyB9IXa5pCbaDegF4mhlw/viewform","Register for Jan 10 SiteImprove Academy")</f>
        <v>Register for Jan 10 SiteImprove Academy</v>
      </c>
      <c r="H7" s="626" t="s">
        <v>1298</v>
      </c>
      <c r="I7" s="227" t="s">
        <v>444</v>
      </c>
      <c r="J7" s="541" t="s">
        <v>116</v>
      </c>
      <c r="K7" s="541" t="s">
        <v>402</v>
      </c>
      <c r="L7" s="668" t="str">
        <f t="shared" ref="L7:L9" si="1">HYPERLINK("https://drive.google.com/file/d/14RCuMOFtZg9l4eB4Ej6Tksi74U8hdQL0/view","Digital Accessibility Certification via SiteImprove Academy")</f>
        <v>Digital Accessibility Certification via SiteImprove Academy</v>
      </c>
      <c r="M7" s="100" t="s">
        <v>221</v>
      </c>
      <c r="N7" s="541" t="s">
        <v>462</v>
      </c>
      <c r="O7" s="223"/>
      <c r="P7" s="100" t="s">
        <v>221</v>
      </c>
    </row>
    <row r="8">
      <c r="A8" s="735"/>
      <c r="B8" s="100"/>
      <c r="C8" s="100"/>
      <c r="D8" s="100"/>
      <c r="E8" s="744">
        <v>43847.0</v>
      </c>
      <c r="F8" s="541" t="s">
        <v>447</v>
      </c>
      <c r="G8" s="668" t="str">
        <f>HYPERLINK("https://docs.google.com/forms/d/e/1FAIpQLSdXPFejbZMPNjI4lIEoKUbLH_0xXDyB9IXa5pCbaDegF4mhlw/viewform","Register for Jan 17 SiteImprove Academy")</f>
        <v>Register for Jan 17 SiteImprove Academy</v>
      </c>
      <c r="H8" s="626" t="s">
        <v>431</v>
      </c>
      <c r="I8" s="227" t="s">
        <v>444</v>
      </c>
      <c r="J8" s="541" t="s">
        <v>116</v>
      </c>
      <c r="K8" s="541" t="s">
        <v>402</v>
      </c>
      <c r="L8" s="668" t="str">
        <f t="shared" si="1"/>
        <v>Digital Accessibility Certification via SiteImprove Academy</v>
      </c>
      <c r="M8" s="100" t="s">
        <v>221</v>
      </c>
      <c r="N8" s="541" t="s">
        <v>462</v>
      </c>
      <c r="O8" s="223"/>
      <c r="P8" s="100" t="s">
        <v>221</v>
      </c>
    </row>
    <row r="9">
      <c r="A9" s="748"/>
      <c r="B9" s="100"/>
      <c r="C9" s="100"/>
      <c r="D9" s="100"/>
      <c r="E9" s="744">
        <v>43854.0</v>
      </c>
      <c r="F9" s="541" t="s">
        <v>447</v>
      </c>
      <c r="G9" s="668" t="str">
        <f>HYPERLINK("https://docs.google.com/forms/d/e/1FAIpQLSdXPFejbZMPNjI4lIEoKUbLH_0xXDyB9IXa5pCbaDegF4mhlw/viewform","Register for Jan 24 SiteImprove Academy")</f>
        <v>Register for Jan 24 SiteImprove Academy</v>
      </c>
      <c r="H9" s="626" t="s">
        <v>431</v>
      </c>
      <c r="I9" s="227" t="s">
        <v>444</v>
      </c>
      <c r="J9" s="541" t="s">
        <v>116</v>
      </c>
      <c r="K9" s="541" t="s">
        <v>402</v>
      </c>
      <c r="L9" s="668" t="str">
        <f t="shared" si="1"/>
        <v>Digital Accessibility Certification via SiteImprove Academy</v>
      </c>
      <c r="M9" s="100" t="s">
        <v>221</v>
      </c>
      <c r="N9" s="541" t="s">
        <v>462</v>
      </c>
      <c r="O9" s="223"/>
      <c r="P9" s="100" t="s">
        <v>221</v>
      </c>
    </row>
    <row r="10">
      <c r="A10" s="751"/>
      <c r="B10" s="100"/>
      <c r="C10" s="100"/>
      <c r="D10" s="100"/>
      <c r="E10" s="744">
        <v>43840.0</v>
      </c>
      <c r="F10" s="541" t="s">
        <v>417</v>
      </c>
      <c r="G10" s="668" t="str">
        <f>HYPERLINK("https://docs.google.com/forms/d/e/1FAIpQLSdXPFejbZMPNjI4lIEoKUbLH_0xXDyB9IXa5pCbaDegF4mhlw/viewform","Register for Jan 10 DigIn Camp: Basic Training")</f>
        <v>Register for Jan 10 DigIn Camp: Basic Training</v>
      </c>
      <c r="H10" s="626" t="s">
        <v>1298</v>
      </c>
      <c r="I10" s="227" t="s">
        <v>409</v>
      </c>
      <c r="J10" s="541" t="s">
        <v>116</v>
      </c>
      <c r="K10" s="541" t="s">
        <v>402</v>
      </c>
      <c r="L10" s="668" t="str">
        <f t="shared" ref="L10:L20" si="2">HYPERLINK("https://docs.google.com/spreadsheets/d/12X-61HfLBxTxAESoAea0X2I4K1R-valRhC9TIkvFTzs/edit#gid=0","DigIn Camp: Basic Training Agenda")</f>
        <v>DigIn Camp: Basic Training Agenda</v>
      </c>
      <c r="M10" s="100" t="s">
        <v>221</v>
      </c>
      <c r="N10" s="541" t="s">
        <v>1303</v>
      </c>
      <c r="O10" s="223"/>
      <c r="P10" s="100"/>
    </row>
    <row r="11">
      <c r="A11" s="748"/>
      <c r="B11" s="100"/>
      <c r="C11" s="100"/>
      <c r="D11" s="100"/>
      <c r="E11" s="744">
        <v>43845.0</v>
      </c>
      <c r="F11" s="541" t="s">
        <v>417</v>
      </c>
      <c r="G11" s="668" t="str">
        <f t="shared" ref="G11:G12" si="3">HYPERLINK("https://docs.google.com/forms/d/e/1FAIpQLSdXPFejbZMPNjI4lIEoKUbLH_0xXDyB9IXa5pCbaDegF4mhlw/viewform","Register for Jan 15 DigIn Camp: Basic Training")</f>
        <v>Register for Jan 15 DigIn Camp: Basic Training</v>
      </c>
      <c r="H11" s="626" t="s">
        <v>1298</v>
      </c>
      <c r="I11" s="227" t="s">
        <v>409</v>
      </c>
      <c r="J11" s="541" t="s">
        <v>116</v>
      </c>
      <c r="K11" s="541" t="s">
        <v>278</v>
      </c>
      <c r="L11" s="668" t="str">
        <f t="shared" si="2"/>
        <v>DigIn Camp: Basic Training Agenda</v>
      </c>
      <c r="M11" s="100" t="s">
        <v>221</v>
      </c>
      <c r="N11" s="541" t="s">
        <v>1303</v>
      </c>
      <c r="O11" s="223"/>
      <c r="P11" s="100" t="s">
        <v>221</v>
      </c>
    </row>
    <row r="12">
      <c r="A12" s="748"/>
      <c r="B12" s="100"/>
      <c r="C12" s="100"/>
      <c r="D12" s="100"/>
      <c r="E12" s="744">
        <v>43845.0</v>
      </c>
      <c r="F12" s="541" t="s">
        <v>417</v>
      </c>
      <c r="G12" s="668" t="str">
        <f t="shared" si="3"/>
        <v>Register for Jan 15 DigIn Camp: Basic Training</v>
      </c>
      <c r="H12" s="626" t="s">
        <v>1298</v>
      </c>
      <c r="I12" s="227" t="s">
        <v>444</v>
      </c>
      <c r="J12" s="541" t="s">
        <v>116</v>
      </c>
      <c r="K12" s="541" t="s">
        <v>278</v>
      </c>
      <c r="L12" s="668" t="str">
        <f t="shared" si="2"/>
        <v>DigIn Camp: Basic Training Agenda</v>
      </c>
      <c r="M12" s="100" t="s">
        <v>221</v>
      </c>
      <c r="N12" s="541" t="s">
        <v>1303</v>
      </c>
      <c r="O12" s="223"/>
      <c r="P12" s="100" t="s">
        <v>221</v>
      </c>
    </row>
    <row r="13">
      <c r="A13" s="748"/>
      <c r="B13" s="100"/>
      <c r="C13" s="100"/>
      <c r="D13" s="100"/>
      <c r="E13" s="744">
        <v>43847.0</v>
      </c>
      <c r="F13" s="541" t="s">
        <v>417</v>
      </c>
      <c r="G13" s="668" t="str">
        <f>HYPERLINK("https://docs.google.com/forms/d/e/1FAIpQLSdXPFejbZMPNjI4lIEoKUbLH_0xXDyB9IXa5pCbaDegF4mhlw/viewform","Register for Jan 17 DigIn Camp: Basic Training")</f>
        <v>Register for Jan 17 DigIn Camp: Basic Training</v>
      </c>
      <c r="H13" s="626" t="s">
        <v>431</v>
      </c>
      <c r="I13" s="227" t="s">
        <v>409</v>
      </c>
      <c r="J13" s="541" t="s">
        <v>116</v>
      </c>
      <c r="K13" s="541" t="s">
        <v>278</v>
      </c>
      <c r="L13" s="668" t="str">
        <f t="shared" si="2"/>
        <v>DigIn Camp: Basic Training Agenda</v>
      </c>
      <c r="M13" s="100" t="s">
        <v>221</v>
      </c>
      <c r="N13" s="541" t="s">
        <v>1303</v>
      </c>
      <c r="O13" s="223"/>
      <c r="P13" s="100" t="s">
        <v>221</v>
      </c>
    </row>
    <row r="14">
      <c r="A14" s="748"/>
      <c r="B14" s="100"/>
      <c r="C14" s="100"/>
      <c r="D14" s="100"/>
      <c r="E14" s="744">
        <v>43852.0</v>
      </c>
      <c r="F14" s="541" t="s">
        <v>417</v>
      </c>
      <c r="G14" s="668" t="str">
        <f>HYPERLINK("https://docs.google.com/forms/d/e/1FAIpQLSdXPFejbZMPNjI4lIEoKUbLH_0xXDyB9IXa5pCbaDegF4mhlw/viewform","Register for Jan 22 DigIn Camp: Basic Training")</f>
        <v>Register for Jan 22 DigIn Camp: Basic Training</v>
      </c>
      <c r="H14" s="626" t="s">
        <v>431</v>
      </c>
      <c r="I14" s="227" t="s">
        <v>409</v>
      </c>
      <c r="J14" s="541" t="s">
        <v>116</v>
      </c>
      <c r="K14" s="541" t="s">
        <v>278</v>
      </c>
      <c r="L14" s="668" t="str">
        <f t="shared" si="2"/>
        <v>DigIn Camp: Basic Training Agenda</v>
      </c>
      <c r="M14" s="100" t="s">
        <v>221</v>
      </c>
      <c r="N14" s="541" t="s">
        <v>1303</v>
      </c>
      <c r="O14" s="223"/>
      <c r="P14" s="100" t="s">
        <v>221</v>
      </c>
    </row>
    <row r="15">
      <c r="A15" s="748"/>
      <c r="B15" s="100"/>
      <c r="C15" s="100"/>
      <c r="D15" s="100"/>
      <c r="E15" s="744">
        <v>43854.0</v>
      </c>
      <c r="F15" s="541" t="s">
        <v>417</v>
      </c>
      <c r="G15" s="668" t="str">
        <f>HYPERLINK("https://docs.google.com/forms/d/e/1FAIpQLSdXPFejbZMPNjI4lIEoKUbLH_0xXDyB9IXa5pCbaDegF4mhlw/viewform","Register for Jan 24 DigIn Camp: Basic Training")</f>
        <v>Register for Jan 24 DigIn Camp: Basic Training</v>
      </c>
      <c r="H15" s="626" t="s">
        <v>1298</v>
      </c>
      <c r="I15" s="227" t="s">
        <v>409</v>
      </c>
      <c r="J15" s="541" t="s">
        <v>116</v>
      </c>
      <c r="K15" s="541" t="s">
        <v>278</v>
      </c>
      <c r="L15" s="668" t="str">
        <f t="shared" si="2"/>
        <v>DigIn Camp: Basic Training Agenda</v>
      </c>
      <c r="M15" s="100" t="s">
        <v>221</v>
      </c>
      <c r="N15" s="541" t="s">
        <v>1303</v>
      </c>
      <c r="O15" s="223"/>
      <c r="P15" s="100" t="s">
        <v>221</v>
      </c>
    </row>
    <row r="16">
      <c r="A16" s="754"/>
      <c r="B16" s="642" t="s">
        <v>1049</v>
      </c>
      <c r="C16" s="642" t="s">
        <v>1050</v>
      </c>
      <c r="D16" s="642" t="s">
        <v>1051</v>
      </c>
      <c r="E16" s="728">
        <v>43880.0</v>
      </c>
      <c r="F16" s="647" t="s">
        <v>1532</v>
      </c>
      <c r="G16" s="755" t="str">
        <f>HYPERLINK("https://docs.google.com/forms/d/e/1FAIpQLSdXPFejbZMPNjI4lIEoKUbLH_0xXDyB9IXa5pCbaDegF4mhlw/viewform?usp=sf_link","Register for Feb 19 DigIn Camp: Basics")</f>
        <v>Register for Feb 19 DigIn Camp: Basics</v>
      </c>
      <c r="H16" s="756" t="s">
        <v>1008</v>
      </c>
      <c r="I16" s="757" t="s">
        <v>996</v>
      </c>
      <c r="J16" s="406" t="s">
        <v>437</v>
      </c>
      <c r="K16" s="406" t="s">
        <v>402</v>
      </c>
      <c r="L16" s="729" t="str">
        <f t="shared" si="2"/>
        <v>DigIn Camp: Basic Training Agenda</v>
      </c>
      <c r="M16" s="642" t="s">
        <v>221</v>
      </c>
      <c r="N16" s="647" t="s">
        <v>439</v>
      </c>
      <c r="O16" s="758" t="s">
        <v>428</v>
      </c>
      <c r="P16" s="642" t="s">
        <v>221</v>
      </c>
    </row>
    <row r="17">
      <c r="A17" s="748"/>
      <c r="B17" s="100"/>
      <c r="C17" s="100"/>
      <c r="D17" s="100"/>
      <c r="E17" s="728">
        <v>43881.0</v>
      </c>
      <c r="F17" s="541" t="s">
        <v>1532</v>
      </c>
      <c r="G17" s="668" t="str">
        <f>HYPERLINK("https://docs.google.com/forms/d/e/1FAIpQLSdXPFejbZMPNjI4lIEoKUbLH_0xXDyB9IXa5pCbaDegF4mhlw/viewform","Register for Feb 20 DigIn Camp: Basic Training")</f>
        <v>Register for Feb 20 DigIn Camp: Basic Training</v>
      </c>
      <c r="H17" s="626" t="s">
        <v>431</v>
      </c>
      <c r="I17" s="227" t="s">
        <v>1009</v>
      </c>
      <c r="J17" s="541" t="s">
        <v>116</v>
      </c>
      <c r="K17" s="541" t="s">
        <v>278</v>
      </c>
      <c r="L17" s="668" t="str">
        <f t="shared" si="2"/>
        <v>DigIn Camp: Basic Training Agenda</v>
      </c>
      <c r="M17" s="100" t="s">
        <v>221</v>
      </c>
      <c r="N17" s="541" t="s">
        <v>1303</v>
      </c>
      <c r="O17" s="223"/>
      <c r="P17" s="100" t="s">
        <v>221</v>
      </c>
    </row>
    <row r="18">
      <c r="A18" s="748"/>
      <c r="B18" s="100"/>
      <c r="C18" s="100"/>
      <c r="D18" s="100"/>
      <c r="E18" s="728">
        <v>43882.0</v>
      </c>
      <c r="F18" s="541" t="s">
        <v>1532</v>
      </c>
      <c r="G18" s="668" t="str">
        <f>HYPERLINK("https://docs.google.com/forms/d/e/1FAIpQLSdXPFejbZMPNjI4lIEoKUbLH_0xXDyB9IXa5pCbaDegF4mhlw/viewform","Register for Feb 21 DigIn Camp: Basic Training")</f>
        <v>Register for Feb 21 DigIn Camp: Basic Training</v>
      </c>
      <c r="H18" s="626" t="s">
        <v>431</v>
      </c>
      <c r="I18" s="227" t="s">
        <v>1537</v>
      </c>
      <c r="J18" s="541" t="s">
        <v>116</v>
      </c>
      <c r="K18" s="541" t="s">
        <v>278</v>
      </c>
      <c r="L18" s="668" t="str">
        <f t="shared" si="2"/>
        <v>DigIn Camp: Basic Training Agenda</v>
      </c>
      <c r="M18" s="100" t="s">
        <v>221</v>
      </c>
      <c r="N18" s="541" t="s">
        <v>1303</v>
      </c>
      <c r="O18" s="223"/>
      <c r="P18" s="100" t="s">
        <v>221</v>
      </c>
    </row>
    <row r="19">
      <c r="A19" s="751"/>
      <c r="B19" s="100" t="s">
        <v>1049</v>
      </c>
      <c r="C19" s="100" t="s">
        <v>1050</v>
      </c>
      <c r="D19" s="100" t="s">
        <v>1051</v>
      </c>
      <c r="E19" s="744">
        <v>43816.0</v>
      </c>
      <c r="F19" s="541" t="s">
        <v>994</v>
      </c>
      <c r="G19" s="668" t="str">
        <f>HYPERLINK("https://www.echalk.com/dig-in-camps","Register for Dec 17 DigIn Camp: Basic Training")</f>
        <v>Register for Dec 17 DigIn Camp: Basic Training</v>
      </c>
      <c r="H19" s="626" t="s">
        <v>1008</v>
      </c>
      <c r="I19" s="100" t="s">
        <v>996</v>
      </c>
      <c r="J19" s="541" t="s">
        <v>437</v>
      </c>
      <c r="K19" s="541" t="s">
        <v>402</v>
      </c>
      <c r="L19" s="668" t="str">
        <f t="shared" si="2"/>
        <v>DigIn Camp: Basic Training Agenda</v>
      </c>
      <c r="M19" s="100" t="s">
        <v>221</v>
      </c>
      <c r="N19" s="541" t="s">
        <v>1237</v>
      </c>
      <c r="O19" s="223" t="s">
        <v>428</v>
      </c>
      <c r="P19" s="100" t="s">
        <v>221</v>
      </c>
    </row>
    <row r="20">
      <c r="A20" s="751"/>
      <c r="B20" s="100" t="s">
        <v>1049</v>
      </c>
      <c r="C20" s="100" t="s">
        <v>1050</v>
      </c>
      <c r="D20" s="100" t="s">
        <v>1051</v>
      </c>
      <c r="E20" s="744">
        <v>43817.0</v>
      </c>
      <c r="F20" s="541" t="s">
        <v>1241</v>
      </c>
      <c r="G20" s="668" t="str">
        <f>HYPERLINK("https://www.echalk.com/dig-in-camps","Register for Dec 18 DigIn Camp: Basic Training &amp; Beyond Basics")</f>
        <v>Register for Dec 18 DigIn Camp: Basic Training &amp; Beyond Basics</v>
      </c>
      <c r="H20" s="626" t="s">
        <v>1008</v>
      </c>
      <c r="I20" s="100" t="s">
        <v>996</v>
      </c>
      <c r="J20" s="541" t="s">
        <v>437</v>
      </c>
      <c r="K20" s="541" t="s">
        <v>402</v>
      </c>
      <c r="L20" s="668" t="str">
        <f t="shared" si="2"/>
        <v>DigIn Camp: Basic Training Agenda</v>
      </c>
      <c r="M20" s="100" t="s">
        <v>221</v>
      </c>
      <c r="N20" s="541" t="s">
        <v>1245</v>
      </c>
      <c r="O20" s="223" t="s">
        <v>428</v>
      </c>
      <c r="P20" s="100" t="s">
        <v>221</v>
      </c>
    </row>
    <row r="21">
      <c r="A21" s="748"/>
      <c r="B21" s="100"/>
      <c r="C21" s="100"/>
      <c r="D21" s="100"/>
      <c r="E21" s="744">
        <v>43852.0</v>
      </c>
      <c r="F21" s="541" t="s">
        <v>1327</v>
      </c>
      <c r="G21" s="668" t="str">
        <f>HYPERLINK("https://docs.google.com/forms/d/e/1FAIpQLSdXPFejbZMPNjI4lIEoKUbLH_0xXDyB9IXa5pCbaDegF4mhlw/viewform","Register for Jan 22 DigIn Camp: Beyond Basics")</f>
        <v>Register for Jan 22 DigIn Camp: Beyond Basics</v>
      </c>
      <c r="H21" s="626" t="s">
        <v>431</v>
      </c>
      <c r="I21" s="227" t="s">
        <v>444</v>
      </c>
      <c r="J21" s="541" t="s">
        <v>116</v>
      </c>
      <c r="K21" s="541" t="s">
        <v>278</v>
      </c>
      <c r="L21" s="668" t="str">
        <f>HYPERLINK("https://docs.google.com/spreadsheets/d/12X-61HfLBxTxAESoAea0X2I4K1R-valRhC9TIkvFTzs/edit#gid=1312891686","DigIn Camp Beyond Basics Agenda")</f>
        <v>DigIn Camp Beyond Basics Agenda</v>
      </c>
      <c r="M21" s="100" t="s">
        <v>221</v>
      </c>
      <c r="N21" s="626" t="s">
        <v>405</v>
      </c>
      <c r="O21" s="223"/>
      <c r="P21" s="100" t="s">
        <v>221</v>
      </c>
    </row>
    <row r="22">
      <c r="A22" s="764"/>
      <c r="B22" s="765" t="s">
        <v>1049</v>
      </c>
      <c r="C22" s="765" t="s">
        <v>1050</v>
      </c>
      <c r="D22" s="765" t="s">
        <v>1051</v>
      </c>
      <c r="E22" s="766">
        <v>43880.0</v>
      </c>
      <c r="F22" s="767" t="s">
        <v>1395</v>
      </c>
      <c r="G22" s="768" t="str">
        <f>HYPERLINK("https://docs.google.com/forms/d/e/1FAIpQLSdXPFejbZMPNjI4lIEoKUbLH_0xXDyB9IXa5pCbaDegF4mhlw/viewform?usp=sf_link","Register for Feb 19 DigIn Camp: Beyond Basics")</f>
        <v>Register for Feb 19 DigIn Camp: Beyond Basics</v>
      </c>
      <c r="H22" s="769" t="s">
        <v>1008</v>
      </c>
      <c r="I22" s="770" t="s">
        <v>996</v>
      </c>
      <c r="J22" s="771" t="s">
        <v>437</v>
      </c>
      <c r="K22" s="771" t="s">
        <v>402</v>
      </c>
      <c r="L22" s="772" t="str">
        <f>HYPERLINK("https://docs.google.com/spreadsheets/d/12X-61HfLBxTxAESoAea0X2I4K1R-valRhC9TIkvFTzs/edit#gid=0","DigIn Camp: Basic Training Agenda")</f>
        <v>DigIn Camp: Basic Training Agenda</v>
      </c>
      <c r="M22" s="765" t="s">
        <v>221</v>
      </c>
      <c r="N22" s="767" t="s">
        <v>1399</v>
      </c>
      <c r="O22" s="773" t="s">
        <v>428</v>
      </c>
      <c r="P22" s="765" t="s">
        <v>221</v>
      </c>
    </row>
    <row r="23">
      <c r="A23" s="774"/>
      <c r="B23" s="736"/>
      <c r="C23" s="736"/>
      <c r="D23" s="736"/>
      <c r="E23" s="775">
        <v>43812.0</v>
      </c>
      <c r="F23" s="776" t="s">
        <v>1034</v>
      </c>
      <c r="G23" s="777" t="str">
        <f>HYPERLINK("https://www.microsoft.com/en-us/store/event_registration/?eid=1867227130&amp;locid=103261&amp;rtc=1","Register Here")</f>
        <v>Register Here</v>
      </c>
      <c r="H23" s="776" t="s">
        <v>1036</v>
      </c>
      <c r="I23" s="778" t="s">
        <v>1037</v>
      </c>
      <c r="J23" s="779" t="s">
        <v>52</v>
      </c>
      <c r="K23" s="776" t="s">
        <v>1038</v>
      </c>
      <c r="L23" s="780"/>
      <c r="M23" s="781"/>
      <c r="N23" s="782" t="s">
        <v>1043</v>
      </c>
      <c r="O23" s="743"/>
      <c r="P23" s="743"/>
    </row>
    <row r="24">
      <c r="A24" s="754"/>
      <c r="B24" s="642"/>
      <c r="C24" s="642"/>
      <c r="D24" s="642"/>
      <c r="E24" s="783">
        <v>43812.0</v>
      </c>
      <c r="F24" s="784" t="s">
        <v>1209</v>
      </c>
      <c r="G24" s="786" t="str">
        <f>HYPERLINK("https://docs.google.com/document/d/1iI4UWmauDNozrdRWcQGuenuiVgSoauornSh7mby8jLE/edit","Register for Dec 13 Ensuring that your school website is accessible to all")</f>
        <v>Register for Dec 13 Ensuring that your school website is accessible to all</v>
      </c>
      <c r="H24" s="734" t="s">
        <v>1211</v>
      </c>
      <c r="I24" s="787" t="s">
        <v>531</v>
      </c>
      <c r="J24" s="784" t="s">
        <v>1213</v>
      </c>
      <c r="K24" s="784" t="s">
        <v>1214</v>
      </c>
      <c r="L24" s="788"/>
      <c r="M24" s="757" t="s">
        <v>221</v>
      </c>
      <c r="N24" s="70" t="s">
        <v>1215</v>
      </c>
      <c r="O24" s="642"/>
      <c r="P24" s="757" t="s">
        <v>221</v>
      </c>
    </row>
    <row r="25">
      <c r="A25" s="789"/>
      <c r="B25" s="642"/>
      <c r="C25" s="642"/>
      <c r="D25" s="642"/>
      <c r="E25" s="766">
        <v>43908.0</v>
      </c>
      <c r="F25" s="647" t="s">
        <v>1511</v>
      </c>
      <c r="G25" s="729" t="str">
        <f>HYPERLINK("https://docs.google.com/forms/d/e/1FAIpQLSdXPFejbZMPNjI4lIEoKUbLH_0xXDyB9IXa5pCbaDegF4mhlw/viewform","Register for March 18 Make My Wix Site Accessible")</f>
        <v>Register for March 18 Make My Wix Site Accessible</v>
      </c>
      <c r="H25" s="791" t="s">
        <v>446</v>
      </c>
      <c r="I25" s="731" t="s">
        <v>444</v>
      </c>
      <c r="J25" s="647" t="s">
        <v>1508</v>
      </c>
      <c r="K25" s="406" t="s">
        <v>402</v>
      </c>
      <c r="L25" s="642"/>
      <c r="M25" s="642" t="s">
        <v>221</v>
      </c>
      <c r="N25" s="647" t="s">
        <v>1512</v>
      </c>
      <c r="O25" s="642"/>
      <c r="P25" s="642" t="s">
        <v>221</v>
      </c>
    </row>
    <row r="26">
      <c r="A26" s="792"/>
      <c r="B26" s="765"/>
      <c r="C26" s="765"/>
      <c r="D26" s="765"/>
      <c r="E26" s="793">
        <v>43910.0</v>
      </c>
      <c r="F26" s="767" t="s">
        <v>1511</v>
      </c>
      <c r="G26" s="772" t="str">
        <f>HYPERLINK("https://docs.google.com/forms/d/e/1FAIpQLSdXPFejbZMPNjI4lIEoKUbLH_0xXDyB9IXa5pCbaDegF4mhlw/viewform","Register for March 20 Make My Wix Site Accessible")</f>
        <v>Register for March 20 Make My Wix Site Accessible</v>
      </c>
      <c r="H26" s="794" t="s">
        <v>1211</v>
      </c>
      <c r="I26" s="795" t="s">
        <v>444</v>
      </c>
      <c r="J26" s="767" t="s">
        <v>1508</v>
      </c>
      <c r="K26" s="771" t="s">
        <v>402</v>
      </c>
      <c r="L26" s="765"/>
      <c r="M26" s="765" t="s">
        <v>221</v>
      </c>
      <c r="N26" s="767" t="s">
        <v>1512</v>
      </c>
      <c r="O26" s="765"/>
      <c r="P26" s="765" t="s">
        <v>221</v>
      </c>
    </row>
    <row r="27">
      <c r="A27" s="796"/>
      <c r="B27" s="797"/>
      <c r="C27" s="797"/>
      <c r="D27" s="797"/>
      <c r="E27" s="798">
        <v>43857.0</v>
      </c>
      <c r="F27" s="799" t="s">
        <v>1337</v>
      </c>
      <c r="G27" s="800" t="str">
        <f>HYPERLINK("https://docs.google.com/forms/d/e/1FAIpQLSdXPFejbZMPNjI4lIEoKUbLH_0xXDyB9IXa5pCbaDegF4mhlw/viewform","Register for Jan 27 Make My Wordpress Site Accessible")</f>
        <v>Register for Jan 27 Make My Wordpress Site Accessible</v>
      </c>
      <c r="H27" s="510" t="s">
        <v>431</v>
      </c>
      <c r="I27" s="801" t="s">
        <v>444</v>
      </c>
      <c r="J27" s="738" t="s">
        <v>1339</v>
      </c>
      <c r="K27" s="799" t="s">
        <v>402</v>
      </c>
      <c r="L27" s="802"/>
      <c r="M27" s="797" t="s">
        <v>221</v>
      </c>
      <c r="N27" s="803" t="s">
        <v>1341</v>
      </c>
      <c r="O27" s="804"/>
      <c r="P27" s="797" t="s">
        <v>221</v>
      </c>
    </row>
    <row r="28">
      <c r="A28" s="796"/>
      <c r="B28" s="736"/>
      <c r="C28" s="736"/>
      <c r="D28" s="736"/>
      <c r="E28" s="737">
        <v>43859.0</v>
      </c>
      <c r="F28" s="738" t="s">
        <v>1337</v>
      </c>
      <c r="G28" s="739" t="str">
        <f>HYPERLINK("https://docs.google.com/forms/d/e/1FAIpQLSdXPFejbZMPNjI4lIEoKUbLH_0xXDyB9IXa5pCbaDegF4mhlw/viewform","Register for Make my Wordpress Site Accessible")</f>
        <v>Register for Make my Wordpress Site Accessible</v>
      </c>
      <c r="H28" s="626" t="s">
        <v>431</v>
      </c>
      <c r="I28" s="740" t="s">
        <v>444</v>
      </c>
      <c r="J28" s="738" t="s">
        <v>1339</v>
      </c>
      <c r="K28" s="738" t="s">
        <v>402</v>
      </c>
      <c r="L28" s="741"/>
      <c r="M28" s="736" t="s">
        <v>221</v>
      </c>
      <c r="N28" s="742" t="s">
        <v>1341</v>
      </c>
      <c r="O28" s="743"/>
      <c r="P28" s="736" t="s">
        <v>221</v>
      </c>
    </row>
    <row r="29">
      <c r="A29" s="805"/>
      <c r="B29" s="807"/>
      <c r="C29" s="807"/>
      <c r="D29" s="807"/>
      <c r="E29" s="808">
        <v>43812.0</v>
      </c>
      <c r="F29" s="799" t="s">
        <v>1071</v>
      </c>
      <c r="G29" s="810" t="str">
        <f>HYPERLINK("https://script.google.com/macros/s/AKfycbz13TA6TRLjXeWWS4UzoZp0Si7VH0DV8Qjhco5ZG2FHe2y7j-Y/exec?id=220AP19&amp;instance=Queens+North+PL+System","Register for Dec 13 Website Accessibility Workshop")</f>
        <v>Register for Dec 13 Website Accessibility Workshop</v>
      </c>
      <c r="H29" s="626" t="s">
        <v>1072</v>
      </c>
      <c r="I29" s="797" t="s">
        <v>1073</v>
      </c>
      <c r="J29" s="812" t="s">
        <v>1218</v>
      </c>
      <c r="K29" s="813" t="s">
        <v>1151</v>
      </c>
      <c r="L29" s="814"/>
      <c r="M29" s="815" t="s">
        <v>280</v>
      </c>
      <c r="N29" s="816" t="s">
        <v>1075</v>
      </c>
      <c r="O29" s="807"/>
      <c r="P29" s="815" t="s">
        <v>221</v>
      </c>
    </row>
    <row r="30" hidden="1">
      <c r="A30" s="748"/>
      <c r="B30" s="100"/>
      <c r="C30" s="100"/>
      <c r="D30" s="100"/>
      <c r="E30" s="744">
        <v>43866.0</v>
      </c>
      <c r="F30" s="541" t="s">
        <v>417</v>
      </c>
      <c r="G30" s="745" t="s">
        <v>1551</v>
      </c>
      <c r="H30" s="626" t="s">
        <v>431</v>
      </c>
      <c r="I30" s="227" t="s">
        <v>444</v>
      </c>
      <c r="J30" s="541" t="s">
        <v>116</v>
      </c>
      <c r="K30" s="541" t="s">
        <v>278</v>
      </c>
      <c r="L30" s="668" t="str">
        <f>HYPERLINK("https://docs.google.com/spreadsheets/d/12X-61HfLBxTxAESoAea0X2I4K1R-valRhC9TIkvFTzs/edit#gid=0","DigIn Camp: Basic Training Agenda")</f>
        <v>DigIn Camp: Basic Training Agenda</v>
      </c>
      <c r="M30" s="100" t="s">
        <v>221</v>
      </c>
      <c r="N30" s="541" t="s">
        <v>410</v>
      </c>
      <c r="O30" s="223"/>
      <c r="P30" s="100"/>
    </row>
    <row r="31" hidden="1">
      <c r="A31" s="748"/>
      <c r="B31" s="100"/>
      <c r="C31" s="100"/>
      <c r="D31" s="100"/>
      <c r="E31" s="744">
        <v>43868.0</v>
      </c>
      <c r="F31" s="541" t="s">
        <v>447</v>
      </c>
      <c r="G31" s="745" t="s">
        <v>1551</v>
      </c>
      <c r="H31" s="626" t="s">
        <v>431</v>
      </c>
      <c r="I31" s="227" t="s">
        <v>409</v>
      </c>
      <c r="J31" s="541" t="s">
        <v>116</v>
      </c>
      <c r="K31" s="541" t="s">
        <v>402</v>
      </c>
      <c r="L31" s="668" t="str">
        <f>HYPERLINK("https://drive.google.com/file/d/14RCuMOFtZg9l4eB4Ej6Tksi74U8hdQL0/view","Digital Accessibility Certification via SiteImprove Academy")</f>
        <v>Digital Accessibility Certification via SiteImprove Academy</v>
      </c>
      <c r="M31" s="100" t="s">
        <v>221</v>
      </c>
      <c r="N31" s="541" t="s">
        <v>462</v>
      </c>
      <c r="O31" s="223"/>
      <c r="P31" s="100"/>
    </row>
    <row r="32" hidden="1">
      <c r="A32" s="748"/>
      <c r="B32" s="100"/>
      <c r="C32" s="100"/>
      <c r="D32" s="100"/>
      <c r="E32" s="744">
        <v>43868.0</v>
      </c>
      <c r="F32" s="541" t="s">
        <v>1327</v>
      </c>
      <c r="G32" s="745" t="s">
        <v>1551</v>
      </c>
      <c r="H32" s="626" t="s">
        <v>431</v>
      </c>
      <c r="I32" s="227" t="s">
        <v>444</v>
      </c>
      <c r="J32" s="541" t="s">
        <v>116</v>
      </c>
      <c r="K32" s="541" t="s">
        <v>402</v>
      </c>
      <c r="L32" s="668" t="str">
        <f>HYPERLINK("https://docs.google.com/spreadsheets/d/12X-61HfLBxTxAESoAea0X2I4K1R-valRhC9TIkvFTzs/edit#gid=1312891686","DigIn Camp Beyond Basics Agenda")</f>
        <v>DigIn Camp Beyond Basics Agenda</v>
      </c>
      <c r="M32" s="100" t="s">
        <v>221</v>
      </c>
      <c r="N32" s="626" t="s">
        <v>405</v>
      </c>
      <c r="O32" s="223"/>
      <c r="P32" s="100"/>
    </row>
    <row r="33" hidden="1">
      <c r="A33" s="748"/>
      <c r="B33" s="100"/>
      <c r="C33" s="100"/>
      <c r="D33" s="100"/>
      <c r="E33" s="744">
        <v>43873.0</v>
      </c>
      <c r="F33" s="541" t="s">
        <v>417</v>
      </c>
      <c r="G33" s="745" t="s">
        <v>1551</v>
      </c>
      <c r="H33" s="626" t="s">
        <v>431</v>
      </c>
      <c r="I33" s="227" t="s">
        <v>409</v>
      </c>
      <c r="J33" s="541" t="s">
        <v>116</v>
      </c>
      <c r="K33" s="541" t="s">
        <v>402</v>
      </c>
      <c r="L33" s="668" t="str">
        <f>HYPERLINK("https://docs.google.com/spreadsheets/d/12X-61HfLBxTxAESoAea0X2I4K1R-valRhC9TIkvFTzs/edit#gid=0","DigIn Camp: Basic Training Agenda")</f>
        <v>DigIn Camp: Basic Training Agenda</v>
      </c>
      <c r="M33" s="100" t="s">
        <v>221</v>
      </c>
      <c r="N33" s="541" t="s">
        <v>410</v>
      </c>
      <c r="O33" s="223"/>
      <c r="P33" s="100"/>
    </row>
    <row r="34" hidden="1">
      <c r="A34" s="748"/>
      <c r="B34" s="100"/>
      <c r="C34" s="100"/>
      <c r="D34" s="100"/>
      <c r="E34" s="744">
        <v>43873.0</v>
      </c>
      <c r="F34" s="541" t="s">
        <v>447</v>
      </c>
      <c r="G34" s="745" t="s">
        <v>1551</v>
      </c>
      <c r="H34" s="626" t="s">
        <v>431</v>
      </c>
      <c r="I34" s="227" t="s">
        <v>444</v>
      </c>
      <c r="J34" s="541" t="s">
        <v>116</v>
      </c>
      <c r="K34" s="541" t="s">
        <v>402</v>
      </c>
      <c r="L34" s="668" t="str">
        <f>HYPERLINK("https://drive.google.com/file/d/14RCuMOFtZg9l4eB4Ej6Tksi74U8hdQL0/view","Digital Accessibility Certification via SiteImprove Academy")</f>
        <v>Digital Accessibility Certification via SiteImprove Academy</v>
      </c>
      <c r="M34" s="100" t="s">
        <v>221</v>
      </c>
      <c r="N34" s="541" t="s">
        <v>462</v>
      </c>
      <c r="O34" s="223"/>
      <c r="P34" s="100"/>
    </row>
    <row r="35" hidden="1">
      <c r="A35" s="748"/>
      <c r="B35" s="100"/>
      <c r="C35" s="100"/>
      <c r="D35" s="100"/>
      <c r="E35" s="744">
        <v>43887.0</v>
      </c>
      <c r="F35" s="541" t="s">
        <v>417</v>
      </c>
      <c r="G35" s="745" t="s">
        <v>1551</v>
      </c>
      <c r="H35" s="626" t="s">
        <v>431</v>
      </c>
      <c r="I35" s="227" t="s">
        <v>409</v>
      </c>
      <c r="J35" s="541" t="s">
        <v>116</v>
      </c>
      <c r="K35" s="541" t="s">
        <v>402</v>
      </c>
      <c r="L35" s="668" t="str">
        <f t="shared" ref="L35:L37" si="4">HYPERLINK("https://docs.google.com/spreadsheets/d/12X-61HfLBxTxAESoAea0X2I4K1R-valRhC9TIkvFTzs/edit#gid=0","DigIn Camp: Basic Training Agenda")</f>
        <v>DigIn Camp: Basic Training Agenda</v>
      </c>
      <c r="M35" s="100" t="s">
        <v>221</v>
      </c>
      <c r="N35" s="541" t="s">
        <v>410</v>
      </c>
      <c r="O35" s="223"/>
      <c r="P35" s="100"/>
    </row>
    <row r="36" hidden="1">
      <c r="A36" s="748"/>
      <c r="B36" s="100"/>
      <c r="C36" s="100"/>
      <c r="D36" s="100"/>
      <c r="E36" s="744">
        <v>43887.0</v>
      </c>
      <c r="F36" s="541" t="s">
        <v>417</v>
      </c>
      <c r="G36" s="745" t="s">
        <v>1551</v>
      </c>
      <c r="H36" s="626" t="s">
        <v>431</v>
      </c>
      <c r="I36" s="227" t="s">
        <v>444</v>
      </c>
      <c r="J36" s="541" t="s">
        <v>116</v>
      </c>
      <c r="K36" s="541" t="s">
        <v>402</v>
      </c>
      <c r="L36" s="668" t="str">
        <f t="shared" si="4"/>
        <v>DigIn Camp: Basic Training Agenda</v>
      </c>
      <c r="M36" s="100" t="s">
        <v>221</v>
      </c>
      <c r="N36" s="541" t="s">
        <v>410</v>
      </c>
      <c r="O36" s="223"/>
      <c r="P36" s="100"/>
    </row>
    <row r="37" hidden="1">
      <c r="A37" s="748"/>
      <c r="B37" s="100"/>
      <c r="C37" s="100"/>
      <c r="D37" s="100"/>
      <c r="E37" s="744">
        <v>43889.0</v>
      </c>
      <c r="F37" s="541" t="s">
        <v>417</v>
      </c>
      <c r="G37" s="745" t="s">
        <v>1551</v>
      </c>
      <c r="H37" s="626" t="s">
        <v>431</v>
      </c>
      <c r="I37" s="227" t="s">
        <v>1299</v>
      </c>
      <c r="J37" s="541" t="s">
        <v>116</v>
      </c>
      <c r="K37" s="541" t="s">
        <v>278</v>
      </c>
      <c r="L37" s="668" t="str">
        <f t="shared" si="4"/>
        <v>DigIn Camp: Basic Training Agenda</v>
      </c>
      <c r="M37" s="100" t="s">
        <v>221</v>
      </c>
      <c r="N37" s="541" t="s">
        <v>410</v>
      </c>
      <c r="O37" s="223"/>
      <c r="P37" s="100"/>
    </row>
    <row r="38" hidden="1">
      <c r="A38" s="748"/>
      <c r="B38" s="100"/>
      <c r="C38" s="100"/>
      <c r="D38" s="100"/>
      <c r="E38" s="744">
        <v>43889.0</v>
      </c>
      <c r="F38" s="541" t="s">
        <v>1553</v>
      </c>
      <c r="G38" s="745" t="s">
        <v>1551</v>
      </c>
      <c r="H38" s="626" t="s">
        <v>431</v>
      </c>
      <c r="I38" s="227" t="s">
        <v>1554</v>
      </c>
      <c r="J38" s="541" t="s">
        <v>116</v>
      </c>
      <c r="K38" s="541" t="s">
        <v>402</v>
      </c>
      <c r="L38" s="745"/>
      <c r="M38" s="100" t="s">
        <v>221</v>
      </c>
      <c r="N38" s="541"/>
      <c r="O38" s="223"/>
      <c r="P38" s="100"/>
    </row>
    <row r="39" hidden="1">
      <c r="A39" s="748"/>
      <c r="B39" s="100"/>
      <c r="C39" s="100"/>
      <c r="D39" s="100"/>
      <c r="E39" s="744">
        <v>43903.0</v>
      </c>
      <c r="F39" s="541" t="s">
        <v>1327</v>
      </c>
      <c r="G39" s="745" t="s">
        <v>1551</v>
      </c>
      <c r="H39" s="626" t="s">
        <v>431</v>
      </c>
      <c r="I39" s="227" t="s">
        <v>409</v>
      </c>
      <c r="J39" s="541" t="s">
        <v>116</v>
      </c>
      <c r="K39" s="541" t="s">
        <v>402</v>
      </c>
      <c r="L39" s="668" t="str">
        <f>HYPERLINK("https://docs.google.com/spreadsheets/d/12X-61HfLBxTxAESoAea0X2I4K1R-valRhC9TIkvFTzs/edit#gid=1312891686","DigIn Camp Beyond Basics Agenda")</f>
        <v>DigIn Camp Beyond Basics Agenda</v>
      </c>
      <c r="M39" s="100" t="s">
        <v>221</v>
      </c>
      <c r="N39" s="626" t="s">
        <v>405</v>
      </c>
      <c r="O39" s="223"/>
      <c r="P39" s="100"/>
    </row>
    <row r="40" hidden="1">
      <c r="A40" s="748"/>
      <c r="B40" s="100"/>
      <c r="C40" s="100"/>
      <c r="D40" s="100"/>
      <c r="E40" s="744">
        <v>43903.0</v>
      </c>
      <c r="F40" s="541" t="s">
        <v>447</v>
      </c>
      <c r="G40" s="745" t="s">
        <v>1551</v>
      </c>
      <c r="H40" s="626" t="s">
        <v>431</v>
      </c>
      <c r="I40" s="227" t="s">
        <v>444</v>
      </c>
      <c r="J40" s="541" t="s">
        <v>116</v>
      </c>
      <c r="K40" s="541" t="s">
        <v>402</v>
      </c>
      <c r="L40" s="668" t="str">
        <f>HYPERLINK("https://drive.google.com/file/d/14RCuMOFtZg9l4eB4Ej6Tksi74U8hdQL0/view","Digital Accessibility Certification via SiteImprove Academy")</f>
        <v>Digital Accessibility Certification via SiteImprove Academy</v>
      </c>
      <c r="M40" s="100" t="s">
        <v>221</v>
      </c>
      <c r="N40" s="541" t="s">
        <v>462</v>
      </c>
      <c r="O40" s="223"/>
      <c r="P40" s="100"/>
    </row>
    <row r="41" hidden="1">
      <c r="A41" s="748"/>
      <c r="B41" s="100"/>
      <c r="C41" s="100"/>
      <c r="D41" s="100"/>
      <c r="E41" s="744">
        <v>43909.0</v>
      </c>
      <c r="F41" s="541" t="s">
        <v>417</v>
      </c>
      <c r="G41" s="745" t="s">
        <v>1551</v>
      </c>
      <c r="H41" s="626" t="s">
        <v>431</v>
      </c>
      <c r="I41" s="227" t="s">
        <v>409</v>
      </c>
      <c r="J41" s="541" t="s">
        <v>116</v>
      </c>
      <c r="K41" s="541" t="s">
        <v>278</v>
      </c>
      <c r="L41" s="668" t="str">
        <f>HYPERLINK("https://docs.google.com/spreadsheets/d/12X-61HfLBxTxAESoAea0X2I4K1R-valRhC9TIkvFTzs/edit#gid=0","DigIn Camp: Basic Training Agenda")</f>
        <v>DigIn Camp: Basic Training Agenda</v>
      </c>
      <c r="M41" s="100" t="s">
        <v>221</v>
      </c>
      <c r="N41" s="541" t="s">
        <v>410</v>
      </c>
      <c r="O41" s="223"/>
      <c r="P41" s="100"/>
    </row>
    <row r="42" hidden="1">
      <c r="A42" s="748"/>
      <c r="B42" s="100"/>
      <c r="C42" s="100"/>
      <c r="D42" s="100"/>
      <c r="E42" s="744">
        <v>43909.0</v>
      </c>
      <c r="F42" s="541" t="s">
        <v>1555</v>
      </c>
      <c r="G42" s="745" t="s">
        <v>1551</v>
      </c>
      <c r="H42" s="626" t="s">
        <v>431</v>
      </c>
      <c r="I42" s="227" t="s">
        <v>444</v>
      </c>
      <c r="J42" s="541" t="s">
        <v>116</v>
      </c>
      <c r="K42" s="541" t="s">
        <v>402</v>
      </c>
      <c r="L42" s="745"/>
      <c r="M42" s="100" t="s">
        <v>221</v>
      </c>
      <c r="N42" s="541"/>
      <c r="O42" s="223"/>
      <c r="P42" s="100"/>
    </row>
    <row r="43" hidden="1">
      <c r="A43" s="748"/>
      <c r="B43" s="100"/>
      <c r="C43" s="100"/>
      <c r="D43" s="100"/>
      <c r="E43" s="744">
        <v>43922.0</v>
      </c>
      <c r="F43" s="541" t="s">
        <v>417</v>
      </c>
      <c r="G43" s="745" t="s">
        <v>1551</v>
      </c>
      <c r="H43" s="626" t="s">
        <v>408</v>
      </c>
      <c r="I43" s="227" t="s">
        <v>409</v>
      </c>
      <c r="J43" s="541" t="s">
        <v>116</v>
      </c>
      <c r="K43" s="541" t="s">
        <v>278</v>
      </c>
      <c r="L43" s="668" t="str">
        <f t="shared" ref="L43:L45" si="5">HYPERLINK("https://docs.google.com/spreadsheets/d/12X-61HfLBxTxAESoAea0X2I4K1R-valRhC9TIkvFTzs/edit#gid=0","DigIn Camp: Basic Training Agenda")</f>
        <v>DigIn Camp: Basic Training Agenda</v>
      </c>
      <c r="M43" s="100" t="s">
        <v>221</v>
      </c>
      <c r="N43" s="541" t="s">
        <v>410</v>
      </c>
      <c r="O43" s="223"/>
      <c r="P43" s="100"/>
    </row>
    <row r="44" hidden="1">
      <c r="A44" s="748"/>
      <c r="B44" s="100"/>
      <c r="C44" s="100"/>
      <c r="D44" s="100"/>
      <c r="E44" s="744">
        <v>43922.0</v>
      </c>
      <c r="F44" s="541" t="s">
        <v>417</v>
      </c>
      <c r="G44" s="745" t="s">
        <v>1551</v>
      </c>
      <c r="H44" s="626" t="s">
        <v>408</v>
      </c>
      <c r="I44" s="227" t="s">
        <v>444</v>
      </c>
      <c r="J44" s="541" t="s">
        <v>116</v>
      </c>
      <c r="K44" s="541" t="s">
        <v>278</v>
      </c>
      <c r="L44" s="668" t="str">
        <f t="shared" si="5"/>
        <v>DigIn Camp: Basic Training Agenda</v>
      </c>
      <c r="M44" s="100" t="s">
        <v>221</v>
      </c>
      <c r="N44" s="541" t="s">
        <v>410</v>
      </c>
      <c r="O44" s="223"/>
      <c r="P44" s="100"/>
    </row>
    <row r="45" hidden="1">
      <c r="A45" s="748"/>
      <c r="B45" s="100"/>
      <c r="C45" s="100"/>
      <c r="D45" s="100"/>
      <c r="E45" s="744">
        <v>43923.0</v>
      </c>
      <c r="F45" s="541" t="s">
        <v>417</v>
      </c>
      <c r="G45" s="745" t="s">
        <v>1551</v>
      </c>
      <c r="H45" s="626" t="s">
        <v>408</v>
      </c>
      <c r="I45" s="227" t="s">
        <v>409</v>
      </c>
      <c r="J45" s="541" t="s">
        <v>116</v>
      </c>
      <c r="K45" s="541" t="s">
        <v>278</v>
      </c>
      <c r="L45" s="668" t="str">
        <f t="shared" si="5"/>
        <v>DigIn Camp: Basic Training Agenda</v>
      </c>
      <c r="M45" s="100" t="s">
        <v>221</v>
      </c>
      <c r="N45" s="541" t="s">
        <v>410</v>
      </c>
      <c r="O45" s="223"/>
      <c r="P45" s="100"/>
    </row>
    <row r="46" hidden="1">
      <c r="A46" s="748"/>
      <c r="B46" s="100"/>
      <c r="C46" s="100"/>
      <c r="D46" s="100"/>
      <c r="E46" s="744">
        <v>43923.0</v>
      </c>
      <c r="F46" s="541" t="s">
        <v>447</v>
      </c>
      <c r="G46" s="745" t="s">
        <v>1551</v>
      </c>
      <c r="H46" s="626" t="s">
        <v>408</v>
      </c>
      <c r="I46" s="227" t="s">
        <v>444</v>
      </c>
      <c r="J46" s="541" t="s">
        <v>116</v>
      </c>
      <c r="K46" s="541" t="s">
        <v>402</v>
      </c>
      <c r="L46" s="668" t="str">
        <f>HYPERLINK("https://drive.google.com/file/d/14RCuMOFtZg9l4eB4Ej6Tksi74U8hdQL0/view","Digital Accessibility Certification via SiteImprove Academy")</f>
        <v>Digital Accessibility Certification via SiteImprove Academy</v>
      </c>
      <c r="M46" s="100" t="s">
        <v>221</v>
      </c>
      <c r="N46" s="541" t="s">
        <v>462</v>
      </c>
      <c r="O46" s="223"/>
      <c r="P46" s="100"/>
    </row>
    <row r="47" hidden="1">
      <c r="A47" s="748"/>
      <c r="B47" s="100"/>
      <c r="C47" s="100"/>
      <c r="D47" s="100"/>
      <c r="E47" s="744">
        <v>43950.0</v>
      </c>
      <c r="F47" s="541" t="s">
        <v>417</v>
      </c>
      <c r="G47" s="745" t="s">
        <v>1551</v>
      </c>
      <c r="H47" s="626" t="s">
        <v>408</v>
      </c>
      <c r="I47" s="227" t="s">
        <v>409</v>
      </c>
      <c r="J47" s="541" t="s">
        <v>116</v>
      </c>
      <c r="K47" s="541" t="s">
        <v>278</v>
      </c>
      <c r="L47" s="668" t="str">
        <f t="shared" ref="L47:L49" si="6">HYPERLINK("https://docs.google.com/spreadsheets/d/12X-61HfLBxTxAESoAea0X2I4K1R-valRhC9TIkvFTzs/edit#gid=0","DigIn Camp: Basic Training Agenda")</f>
        <v>DigIn Camp: Basic Training Agenda</v>
      </c>
      <c r="M47" s="100" t="s">
        <v>221</v>
      </c>
      <c r="N47" s="541" t="s">
        <v>410</v>
      </c>
      <c r="O47" s="223"/>
      <c r="P47" s="100"/>
    </row>
    <row r="48" hidden="1">
      <c r="A48" s="748"/>
      <c r="B48" s="100"/>
      <c r="C48" s="100"/>
      <c r="D48" s="100"/>
      <c r="E48" s="744">
        <v>43950.0</v>
      </c>
      <c r="F48" s="541" t="s">
        <v>417</v>
      </c>
      <c r="G48" s="745" t="s">
        <v>1551</v>
      </c>
      <c r="H48" s="626" t="s">
        <v>408</v>
      </c>
      <c r="I48" s="227" t="s">
        <v>444</v>
      </c>
      <c r="J48" s="541" t="s">
        <v>116</v>
      </c>
      <c r="K48" s="541" t="s">
        <v>278</v>
      </c>
      <c r="L48" s="668" t="str">
        <f t="shared" si="6"/>
        <v>DigIn Camp: Basic Training Agenda</v>
      </c>
      <c r="M48" s="100" t="s">
        <v>221</v>
      </c>
      <c r="N48" s="541" t="s">
        <v>410</v>
      </c>
      <c r="O48" s="223"/>
      <c r="P48" s="100"/>
    </row>
    <row r="49" hidden="1">
      <c r="A49" s="748"/>
      <c r="B49" s="100"/>
      <c r="C49" s="100"/>
      <c r="D49" s="100"/>
      <c r="E49" s="744">
        <v>43952.0</v>
      </c>
      <c r="F49" s="541" t="s">
        <v>417</v>
      </c>
      <c r="G49" s="745" t="s">
        <v>1551</v>
      </c>
      <c r="H49" s="626" t="s">
        <v>452</v>
      </c>
      <c r="I49" s="227" t="s">
        <v>409</v>
      </c>
      <c r="J49" s="541" t="s">
        <v>116</v>
      </c>
      <c r="K49" s="541" t="s">
        <v>278</v>
      </c>
      <c r="L49" s="668" t="str">
        <f t="shared" si="6"/>
        <v>DigIn Camp: Basic Training Agenda</v>
      </c>
      <c r="M49" s="100" t="s">
        <v>221</v>
      </c>
      <c r="N49" s="541" t="s">
        <v>410</v>
      </c>
      <c r="O49" s="223"/>
      <c r="P49" s="100"/>
    </row>
    <row r="50" hidden="1">
      <c r="A50" s="748"/>
      <c r="B50" s="100"/>
      <c r="C50" s="100"/>
      <c r="D50" s="100"/>
      <c r="E50" s="744">
        <v>43952.0</v>
      </c>
      <c r="F50" s="541" t="s">
        <v>447</v>
      </c>
      <c r="G50" s="745" t="s">
        <v>1551</v>
      </c>
      <c r="H50" s="626" t="s">
        <v>452</v>
      </c>
      <c r="I50" s="227" t="s">
        <v>444</v>
      </c>
      <c r="J50" s="541" t="s">
        <v>116</v>
      </c>
      <c r="K50" s="541" t="s">
        <v>402</v>
      </c>
      <c r="L50" s="668" t="str">
        <f t="shared" ref="L50:L51" si="7">HYPERLINK("https://drive.google.com/file/d/14RCuMOFtZg9l4eB4Ej6Tksi74U8hdQL0/view","Digital Accessibility Certification via SiteImprove Academy")</f>
        <v>Digital Accessibility Certification via SiteImprove Academy</v>
      </c>
      <c r="M50" s="100" t="s">
        <v>221</v>
      </c>
      <c r="N50" s="541" t="s">
        <v>462</v>
      </c>
      <c r="O50" s="223"/>
      <c r="P50" s="100"/>
    </row>
    <row r="51" hidden="1">
      <c r="A51" s="748"/>
      <c r="B51" s="100"/>
      <c r="C51" s="100"/>
      <c r="D51" s="100"/>
      <c r="E51" s="744">
        <v>43957.0</v>
      </c>
      <c r="F51" s="541" t="s">
        <v>447</v>
      </c>
      <c r="G51" s="745" t="s">
        <v>1551</v>
      </c>
      <c r="H51" s="626" t="s">
        <v>452</v>
      </c>
      <c r="I51" s="227" t="s">
        <v>409</v>
      </c>
      <c r="J51" s="541" t="s">
        <v>116</v>
      </c>
      <c r="K51" s="541" t="s">
        <v>402</v>
      </c>
      <c r="L51" s="668" t="str">
        <f t="shared" si="7"/>
        <v>Digital Accessibility Certification via SiteImprove Academy</v>
      </c>
      <c r="M51" s="100" t="s">
        <v>221</v>
      </c>
      <c r="N51" s="541" t="s">
        <v>462</v>
      </c>
      <c r="O51" s="223"/>
      <c r="P51" s="100"/>
    </row>
    <row r="52" hidden="1">
      <c r="A52" s="748"/>
      <c r="B52" s="100"/>
      <c r="C52" s="100"/>
      <c r="D52" s="100"/>
      <c r="E52" s="744">
        <v>43957.0</v>
      </c>
      <c r="F52" s="541" t="s">
        <v>1327</v>
      </c>
      <c r="G52" s="745" t="s">
        <v>1551</v>
      </c>
      <c r="H52" s="626" t="s">
        <v>452</v>
      </c>
      <c r="I52" s="227" t="s">
        <v>444</v>
      </c>
      <c r="J52" s="541" t="s">
        <v>116</v>
      </c>
      <c r="K52" s="541" t="s">
        <v>402</v>
      </c>
      <c r="L52" s="668" t="str">
        <f>HYPERLINK("https://docs.google.com/spreadsheets/d/12X-61HfLBxTxAESoAea0X2I4K1R-valRhC9TIkvFTzs/edit#gid=1312891686","DigIn Camp Beyond Basics Agenda")</f>
        <v>DigIn Camp Beyond Basics Agenda</v>
      </c>
      <c r="M52" s="100" t="s">
        <v>221</v>
      </c>
      <c r="N52" s="626" t="s">
        <v>405</v>
      </c>
      <c r="O52" s="223"/>
      <c r="P52" s="100"/>
    </row>
    <row r="53" hidden="1">
      <c r="A53" s="829"/>
      <c r="B53" s="215" t="s">
        <v>466</v>
      </c>
      <c r="C53" s="215" t="s">
        <v>467</v>
      </c>
      <c r="D53" s="830" t="s">
        <v>468</v>
      </c>
      <c r="E53" s="217">
        <v>43957.0</v>
      </c>
      <c r="F53" s="223" t="s">
        <v>469</v>
      </c>
      <c r="G53" s="243" t="str">
        <f>HYPERLINK("http://s.apple.com/dE0a9r5z0Y","Register for May 6 Access Abilities")</f>
        <v>Register for May 6 Access Abilities</v>
      </c>
      <c r="H53" s="232" t="s">
        <v>470</v>
      </c>
      <c r="I53" s="215" t="s">
        <v>471</v>
      </c>
      <c r="J53" s="232" t="s">
        <v>472</v>
      </c>
      <c r="K53" s="215" t="s">
        <v>1024</v>
      </c>
      <c r="L53" s="235" t="s">
        <v>469</v>
      </c>
      <c r="M53" s="215" t="s">
        <v>280</v>
      </c>
      <c r="N53" s="223" t="s">
        <v>474</v>
      </c>
      <c r="O53" s="223" t="s">
        <v>428</v>
      </c>
      <c r="P53" s="100" t="s">
        <v>280</v>
      </c>
    </row>
    <row r="54" hidden="1">
      <c r="A54" s="831"/>
      <c r="B54" s="832"/>
      <c r="C54" s="832"/>
      <c r="D54" s="833"/>
      <c r="E54" s="217">
        <v>43959.0</v>
      </c>
      <c r="F54" s="541" t="s">
        <v>447</v>
      </c>
      <c r="G54" s="745" t="s">
        <v>1551</v>
      </c>
      <c r="H54" s="626" t="s">
        <v>452</v>
      </c>
      <c r="I54" s="227" t="s">
        <v>409</v>
      </c>
      <c r="J54" s="541" t="s">
        <v>116</v>
      </c>
      <c r="K54" s="541" t="s">
        <v>402</v>
      </c>
      <c r="L54" s="668" t="str">
        <f>HYPERLINK("https://drive.google.com/file/d/14RCuMOFtZg9l4eB4Ej6Tksi74U8hdQL0/view","Digital Accessibility Certification via SiteImprove Academy")</f>
        <v>Digital Accessibility Certification via SiteImprove Academy</v>
      </c>
      <c r="M54" s="100" t="s">
        <v>221</v>
      </c>
      <c r="N54" s="541" t="s">
        <v>462</v>
      </c>
      <c r="O54" s="709"/>
      <c r="P54" s="834"/>
    </row>
    <row r="55" hidden="1">
      <c r="A55" s="831"/>
      <c r="B55" s="832"/>
      <c r="C55" s="832"/>
      <c r="D55" s="833"/>
      <c r="E55" s="217">
        <v>43959.0</v>
      </c>
      <c r="F55" s="541" t="s">
        <v>1553</v>
      </c>
      <c r="G55" s="745" t="s">
        <v>1551</v>
      </c>
      <c r="H55" s="626" t="s">
        <v>452</v>
      </c>
      <c r="I55" s="227" t="s">
        <v>444</v>
      </c>
      <c r="J55" s="541" t="s">
        <v>116</v>
      </c>
      <c r="K55" s="541" t="s">
        <v>402</v>
      </c>
      <c r="L55" s="745"/>
      <c r="M55" s="100" t="s">
        <v>221</v>
      </c>
      <c r="N55" s="541"/>
      <c r="O55" s="709"/>
      <c r="P55" s="834"/>
    </row>
    <row r="56" hidden="1">
      <c r="A56" s="831"/>
      <c r="B56" s="832"/>
      <c r="C56" s="832"/>
      <c r="D56" s="833"/>
      <c r="E56" s="217">
        <v>43964.0</v>
      </c>
      <c r="F56" s="541" t="s">
        <v>447</v>
      </c>
      <c r="G56" s="745" t="s">
        <v>1551</v>
      </c>
      <c r="H56" s="626" t="s">
        <v>452</v>
      </c>
      <c r="I56" s="227" t="s">
        <v>409</v>
      </c>
      <c r="J56" s="541" t="s">
        <v>116</v>
      </c>
      <c r="K56" s="541" t="s">
        <v>402</v>
      </c>
      <c r="L56" s="668" t="str">
        <f>HYPERLINK("https://drive.google.com/file/d/14RCuMOFtZg9l4eB4Ej6Tksi74U8hdQL0/view","Digital Accessibility Certification via SiteImprove Academy")</f>
        <v>Digital Accessibility Certification via SiteImprove Academy</v>
      </c>
      <c r="M56" s="100" t="s">
        <v>221</v>
      </c>
      <c r="N56" s="541" t="s">
        <v>462</v>
      </c>
      <c r="O56" s="709"/>
      <c r="P56" s="834"/>
    </row>
    <row r="57" hidden="1">
      <c r="A57" s="831"/>
      <c r="B57" s="832"/>
      <c r="C57" s="832"/>
      <c r="D57" s="833"/>
      <c r="E57" s="217">
        <v>43964.0</v>
      </c>
      <c r="F57" s="541" t="s">
        <v>1555</v>
      </c>
      <c r="G57" s="745" t="s">
        <v>1551</v>
      </c>
      <c r="H57" s="626" t="s">
        <v>452</v>
      </c>
      <c r="I57" s="227" t="s">
        <v>444</v>
      </c>
      <c r="J57" s="541" t="s">
        <v>116</v>
      </c>
      <c r="K57" s="541" t="s">
        <v>402</v>
      </c>
      <c r="L57" s="745"/>
      <c r="M57" s="100" t="s">
        <v>221</v>
      </c>
      <c r="N57" s="541"/>
      <c r="O57" s="709"/>
      <c r="P57" s="834"/>
    </row>
  </sheetData>
  <customSheetViews>
    <customSheetView guid="{1E644146-47CD-4DDF-95CB-6C62E2CF7EBB}" filter="1" showAutoFilter="1">
      <autoFilter ref="$E$1:$P$29">
        <filterColumn colId="1">
          <filters>
            <filter val="Website Accessibility Workshop"/>
            <filter val="Digital Accessibility Certification via SiteImprove Academy"/>
          </filters>
        </filterColumn>
      </autoFilter>
    </customSheetView>
    <customSheetView guid="{16D382A3-5D5E-4D74-BAF3-BD542623D867}" filter="1" showAutoFilter="1">
      <autoFilter ref="$E$1:$P$57">
        <filterColumn colId="5">
          <filters>
            <filter val="Brooklyn North Borough Office"/>
            <filter val="DIIT &amp; Wix"/>
            <filter val="DIIT and eChalk"/>
            <filter val="Microsoft"/>
            <filter val="DIIT &amp; Wordpress.org"/>
            <filter val="Queens North Borough Office"/>
          </filters>
        </filterColumn>
      </autoFilter>
    </customSheetView>
  </customSheetViews>
  <hyperlinks>
    <hyperlink r:id="rId1" location="gid=0" ref="L6"/>
    <hyperlink r:id="rId2" ref="D53"/>
    <hyperlink r:id="rId3" ref="L53"/>
  </hyperlinks>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900FF"/>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41.29"/>
    <col customWidth="1" min="2" max="2" width="95.43"/>
    <col customWidth="1" min="3" max="3" width="41.43"/>
    <col customWidth="1" min="4" max="5" width="32.71"/>
    <col customWidth="1" min="6" max="6" width="8.29"/>
  </cols>
  <sheetData>
    <row r="1">
      <c r="A1" s="2" t="s">
        <v>1</v>
      </c>
      <c r="B1" s="2" t="s">
        <v>3</v>
      </c>
      <c r="C1" s="2" t="s">
        <v>5</v>
      </c>
      <c r="D1" s="2" t="s">
        <v>7</v>
      </c>
      <c r="E1" s="4" t="s">
        <v>8</v>
      </c>
      <c r="F1" s="6"/>
    </row>
    <row r="2">
      <c r="A2" s="8" t="s">
        <v>10</v>
      </c>
      <c r="B2" s="10" t="s">
        <v>21</v>
      </c>
      <c r="C2" s="12"/>
      <c r="D2" s="12"/>
      <c r="E2" s="14" t="s">
        <v>25</v>
      </c>
      <c r="F2" s="16"/>
    </row>
    <row r="3">
      <c r="A3" s="8" t="s">
        <v>27</v>
      </c>
      <c r="B3" s="10" t="s">
        <v>28</v>
      </c>
      <c r="C3" s="8" t="s">
        <v>29</v>
      </c>
      <c r="D3" s="12"/>
      <c r="E3" s="14" t="s">
        <v>32</v>
      </c>
      <c r="F3" s="16"/>
    </row>
    <row r="4">
      <c r="A4" s="45" t="s">
        <v>33</v>
      </c>
      <c r="B4" s="10" t="s">
        <v>35</v>
      </c>
      <c r="C4" s="12"/>
      <c r="D4" s="12"/>
      <c r="E4" s="12"/>
      <c r="F4" s="16"/>
    </row>
    <row r="5">
      <c r="A5" s="49" t="s">
        <v>37</v>
      </c>
      <c r="B5" s="10" t="s">
        <v>39</v>
      </c>
      <c r="C5" s="12"/>
      <c r="D5" s="51"/>
      <c r="E5" s="14" t="s">
        <v>41</v>
      </c>
      <c r="F5" s="16"/>
    </row>
    <row r="6">
      <c r="A6" s="52" t="str">
        <f>HYPERLINK("https://theinnovativeeducator.blogspot.com/2020/03/your-first-day-of-remotelearning-with.html","Google Classroom")</f>
        <v>Google Classroom</v>
      </c>
      <c r="B6" s="10" t="s">
        <v>42</v>
      </c>
      <c r="C6" s="52"/>
      <c r="D6" s="12"/>
      <c r="E6" s="14"/>
      <c r="F6" s="16"/>
    </row>
    <row r="7" ht="15.75" customHeight="1">
      <c r="A7" s="52" t="str">
        <f>HYPERLINK("https://drive.google.com/file/d/1VGNCWxqNmhvhzlyPcWXM7WxMeEmo09L2/view?usp=sharing","Google Classroom Demo")</f>
        <v>Google Classroom Demo</v>
      </c>
      <c r="B7" s="56" t="s">
        <v>44</v>
      </c>
      <c r="C7" s="52" t="str">
        <f>HYPERLINK("https://docs.google.com/document/d/1vDJ1ESBrN-Wea1cAwLeMDmJHHnLvqXSPhjrECrwqxKE/edit#","Google Classroom Agenda")</f>
        <v>Google Classroom Agenda</v>
      </c>
      <c r="D7" s="61"/>
      <c r="E7" s="63" t="s">
        <v>48</v>
      </c>
      <c r="F7" s="65"/>
    </row>
    <row r="8">
      <c r="A8" s="8" t="s">
        <v>50</v>
      </c>
      <c r="B8" s="10" t="s">
        <v>57</v>
      </c>
      <c r="C8" s="52" t="str">
        <f>HYPERLINK("https://docs.google.com/presentation/d/1oANYDyM7p5kbRa2CbiadNsRUIiEQ5j1JErgPFcP-J3o/preview?fbclid=IwAR2S_2KXMx1XymAqEac3vihfRhwQemtWQBWWHn64dOzIlieTTWLou7rXDb4&amp;slide=id.g7f1f0225b4_2_0","Teach from Home Presentation")</f>
        <v>Teach from Home Presentation</v>
      </c>
      <c r="D8" s="12"/>
      <c r="E8" s="14" t="s">
        <v>64</v>
      </c>
      <c r="F8" s="16"/>
    </row>
    <row r="9">
      <c r="A9" s="52" t="str">
        <f>HYPERLINK("https://web.microsoftstream.com/video/3564df50-e985-4537-a43b-aaed4830e136","Making Home Learning Accessible for Students with Disabilities")</f>
        <v>Making Home Learning Accessible for Students with Disabilities</v>
      </c>
      <c r="B9" s="76" t="s">
        <v>70</v>
      </c>
      <c r="C9" s="12"/>
      <c r="D9" s="12"/>
      <c r="E9" s="14" t="s">
        <v>71</v>
      </c>
      <c r="F9" s="16"/>
    </row>
    <row r="10">
      <c r="A10" s="8" t="s">
        <v>72</v>
      </c>
      <c r="B10" s="10" t="s">
        <v>63</v>
      </c>
      <c r="C10" s="8" t="s">
        <v>73</v>
      </c>
      <c r="D10" s="12"/>
      <c r="E10" s="14" t="s">
        <v>78</v>
      </c>
      <c r="F10" s="16"/>
    </row>
    <row r="11">
      <c r="A11" s="8" t="s">
        <v>79</v>
      </c>
      <c r="B11" s="10" t="s">
        <v>83</v>
      </c>
      <c r="C11" s="8" t="s">
        <v>84</v>
      </c>
      <c r="D11" s="84"/>
      <c r="E11" s="14" t="s">
        <v>87</v>
      </c>
      <c r="F11" s="16"/>
    </row>
    <row r="12">
      <c r="A12" s="85" t="s">
        <v>88</v>
      </c>
      <c r="B12" s="10" t="s">
        <v>89</v>
      </c>
      <c r="C12" s="8" t="s">
        <v>90</v>
      </c>
      <c r="D12" s="12"/>
      <c r="E12" s="12"/>
      <c r="F12" s="16"/>
    </row>
    <row r="13">
      <c r="A13" s="52" t="str">
        <f>HYPERLINK("https://www.peardeck.com/learn-pear-deck","PearDeck (sign up)")</f>
        <v>PearDeck (sign up)</v>
      </c>
      <c r="B13" s="95" t="s">
        <v>106</v>
      </c>
      <c r="C13" s="98" t="s">
        <v>107</v>
      </c>
      <c r="D13" s="84"/>
      <c r="E13" s="14"/>
      <c r="F13" s="99"/>
    </row>
    <row r="14">
      <c r="A14" s="52" t="str">
        <f>HYPERLINK("https://learn.flglobal.org/courses/NYCDOE-rtol-rapid-transition-to-online-learning-1","Rapid Transition to Online Learning")</f>
        <v>Rapid Transition to Online Learning</v>
      </c>
      <c r="B14" s="95" t="s">
        <v>118</v>
      </c>
      <c r="C14" s="52" t="str">
        <f>HYPERLINK("https://docs.google.com/document/d/1qDKHcd1eFN-KfOnjBTh8XRS2Tw3CUf1LfXSvC83eFOo/edit?usp=sharing","Rapid Transition to Online Learning Document")</f>
        <v>Rapid Transition to Online Learning Document</v>
      </c>
      <c r="D14" s="84"/>
      <c r="E14" s="14"/>
      <c r="F14" s="99"/>
    </row>
    <row r="15">
      <c r="A15" s="8" t="s">
        <v>127</v>
      </c>
      <c r="B15" s="10" t="s">
        <v>131</v>
      </c>
      <c r="C15" s="8" t="s">
        <v>132</v>
      </c>
      <c r="D15" s="113" t="s">
        <v>136</v>
      </c>
      <c r="E15" s="14" t="s">
        <v>143</v>
      </c>
      <c r="F15" s="99"/>
    </row>
    <row r="16">
      <c r="A16" s="8" t="s">
        <v>144</v>
      </c>
      <c r="B16" s="10" t="s">
        <v>146</v>
      </c>
      <c r="C16" s="52" t="str">
        <f>HYPERLINK("https://docs.google.com/spreadsheets/d/1ZjS1VeiGbLRnZK0J9Rzqy4FakDLlXuOOso70hvSxChU/edit?usp=sharing","All resources are on this spreadsheet")</f>
        <v>All resources are on this spreadsheet</v>
      </c>
      <c r="D16" s="12"/>
      <c r="E16" s="14" t="s">
        <v>151</v>
      </c>
      <c r="F16" s="99"/>
    </row>
    <row r="17">
      <c r="A17" s="8" t="s">
        <v>152</v>
      </c>
      <c r="B17" s="10" t="s">
        <v>153</v>
      </c>
      <c r="C17" s="52" t="s">
        <v>154</v>
      </c>
      <c r="D17" s="12"/>
      <c r="E17" s="14"/>
      <c r="F17" s="99"/>
    </row>
    <row r="18">
      <c r="A18" s="8" t="s">
        <v>155</v>
      </c>
      <c r="B18" s="10" t="s">
        <v>82</v>
      </c>
      <c r="C18" s="8" t="s">
        <v>156</v>
      </c>
      <c r="D18" s="12"/>
      <c r="E18" s="14" t="s">
        <v>162</v>
      </c>
      <c r="F18" s="99"/>
    </row>
    <row r="19">
      <c r="A19" s="52" t="str">
        <f>HYPERLINK("http://blog.flipgrid.com/flipgridpd","Flip Grid Webinar")</f>
        <v>Flip Grid Webinar</v>
      </c>
      <c r="B19" s="117" t="s">
        <v>163</v>
      </c>
      <c r="C19" s="118" t="str">
        <f>HYPERLINK("http://blog.flipgrid.com/flipgridpd","Flipgrid event")</f>
        <v>Flipgrid event</v>
      </c>
      <c r="D19" s="12"/>
      <c r="E19" s="14"/>
      <c r="F19" s="99"/>
    </row>
    <row r="20">
      <c r="A20" s="121" t="str">
        <f>HYPERLINK("https://www.commonsense.org/education/webinars","Common Sense Webinars")</f>
        <v>Common Sense Webinars</v>
      </c>
      <c r="B20" s="122" t="s">
        <v>168</v>
      </c>
      <c r="C20" s="123"/>
      <c r="D20" s="124"/>
      <c r="E20" s="99"/>
      <c r="F20" s="99"/>
    </row>
  </sheetData>
  <hyperlinks>
    <hyperlink r:id="rId1" ref="C3"/>
    <hyperlink r:id="rId2" ref="A4"/>
    <hyperlink r:id="rId3" ref="A8"/>
    <hyperlink r:id="rId4" ref="C10"/>
    <hyperlink r:id="rId5" ref="A11"/>
    <hyperlink r:id="rId6" ref="C11"/>
    <hyperlink r:id="rId7" ref="C12"/>
    <hyperlink r:id="rId8" ref="C13"/>
    <hyperlink r:id="rId9" ref="B14"/>
    <hyperlink r:id="rId10" ref="A15"/>
    <hyperlink r:id="rId11" ref="C15"/>
    <hyperlink r:id="rId12" ref="D15"/>
    <hyperlink r:id="rId13" ref="C17"/>
    <hyperlink r:id="rId14" ref="A18"/>
    <hyperlink r:id="rId15" ref="C18"/>
  </hyperlinks>
  <drawing r:id="rId16"/>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pageSetUpPr fitToPage="1"/>
  </sheetPr>
  <sheetViews>
    <sheetView workbookViewId="0">
      <pane xSplit="9.0" ySplit="1.0" topLeftCell="J2" activePane="bottomRight" state="frozen"/>
      <selection activeCell="J1" sqref="J1" pane="topRight"/>
      <selection activeCell="A2" sqref="A2" pane="bottomLeft"/>
      <selection activeCell="J2" sqref="J2" pane="bottomRight"/>
    </sheetView>
  </sheetViews>
  <sheetFormatPr customHeight="1" defaultColWidth="14.43" defaultRowHeight="15.75"/>
  <cols>
    <col customWidth="1" hidden="1" min="1" max="1" width="21.57"/>
    <col customWidth="1" hidden="1" min="2" max="2" width="14.0"/>
    <col customWidth="1" hidden="1" min="3" max="3" width="12.86"/>
    <col customWidth="1" hidden="1" min="4" max="4" width="21.57"/>
    <col customWidth="1" min="5" max="5" width="8.57"/>
    <col customWidth="1" min="6" max="6" width="11.57"/>
    <col customWidth="1" min="7" max="7" width="40.14"/>
    <col customWidth="1" hidden="1" min="8" max="8" width="37.0"/>
    <col customWidth="1" min="9" max="9" width="19.29"/>
    <col customWidth="1" min="10" max="10" width="32.43"/>
    <col customWidth="1" min="11" max="11" width="28.57"/>
    <col customWidth="1" min="12" max="12" width="21.71"/>
    <col customWidth="1" min="13" max="13" width="18.86"/>
    <col customWidth="1" min="14" max="14" width="12.14"/>
    <col customWidth="1" min="15" max="15" width="125.57"/>
    <col customWidth="1" min="16" max="16" width="7.86"/>
    <col customWidth="1" min="17" max="18" width="21.57"/>
  </cols>
  <sheetData>
    <row r="1" ht="26.25" customHeight="1">
      <c r="A1" s="1" t="s">
        <v>0</v>
      </c>
      <c r="B1" s="3" t="s">
        <v>2</v>
      </c>
      <c r="C1" s="3" t="s">
        <v>4</v>
      </c>
      <c r="D1" s="3" t="s">
        <v>6</v>
      </c>
      <c r="E1" s="5"/>
      <c r="F1" s="7" t="s">
        <v>9</v>
      </c>
      <c r="G1" s="7" t="s">
        <v>11</v>
      </c>
      <c r="H1" s="7" t="s">
        <v>12</v>
      </c>
      <c r="I1" s="7" t="s">
        <v>13</v>
      </c>
      <c r="J1" s="7" t="s">
        <v>14</v>
      </c>
      <c r="K1" s="7" t="s">
        <v>16</v>
      </c>
      <c r="L1" s="7" t="s">
        <v>17</v>
      </c>
      <c r="M1" s="7" t="s">
        <v>18</v>
      </c>
      <c r="N1" s="7" t="s">
        <v>19</v>
      </c>
      <c r="O1" s="9" t="s">
        <v>20</v>
      </c>
      <c r="P1" s="3" t="s">
        <v>22</v>
      </c>
      <c r="Q1" s="3" t="s">
        <v>23</v>
      </c>
      <c r="R1" s="3" t="s">
        <v>24</v>
      </c>
    </row>
    <row r="2">
      <c r="A2" s="11"/>
      <c r="B2" s="13"/>
      <c r="C2" s="13"/>
      <c r="D2" s="15"/>
      <c r="E2" s="17"/>
      <c r="F2" s="17"/>
      <c r="G2" s="19" t="s">
        <v>26</v>
      </c>
      <c r="H2" s="20"/>
      <c r="I2" s="21"/>
      <c r="J2" s="22"/>
      <c r="K2" s="24"/>
      <c r="L2" s="26"/>
      <c r="M2" s="28" t="s">
        <v>30</v>
      </c>
      <c r="N2" s="28">
        <f>sum(N3:N17)</f>
        <v>1103</v>
      </c>
      <c r="O2" s="36"/>
      <c r="P2" s="17"/>
      <c r="Q2" s="17"/>
      <c r="R2" s="17"/>
    </row>
    <row r="3">
      <c r="A3" s="37"/>
      <c r="B3" s="39"/>
      <c r="C3" s="39"/>
      <c r="D3" s="41"/>
      <c r="E3" s="43" t="s">
        <v>34</v>
      </c>
      <c r="F3" s="48">
        <v>43907.0</v>
      </c>
      <c r="G3" s="53" t="s">
        <v>38</v>
      </c>
      <c r="H3" s="55"/>
      <c r="I3" s="57" t="s">
        <v>45</v>
      </c>
      <c r="J3" s="58"/>
      <c r="K3" s="57"/>
      <c r="L3" s="57" t="s">
        <v>46</v>
      </c>
      <c r="M3" s="60"/>
      <c r="N3" s="60">
        <v>202.0</v>
      </c>
      <c r="O3" s="62" t="s">
        <v>47</v>
      </c>
      <c r="P3" s="43"/>
      <c r="Q3" s="64"/>
      <c r="R3" s="64"/>
    </row>
    <row r="4">
      <c r="A4" s="37"/>
      <c r="B4" s="39"/>
      <c r="C4" s="39"/>
      <c r="D4" s="41"/>
      <c r="E4" s="43" t="s">
        <v>34</v>
      </c>
      <c r="F4" s="48">
        <v>43907.0</v>
      </c>
      <c r="G4" s="53" t="s">
        <v>49</v>
      </c>
      <c r="H4" s="55"/>
      <c r="I4" s="57" t="s">
        <v>51</v>
      </c>
      <c r="J4" s="69" t="str">
        <f>HYPERLINK("https://web.microsoftstream.com/video/c9292d2d-dbab-4efa-8da4-eda85583a1b4","Google Support")</f>
        <v>Google Support</v>
      </c>
      <c r="K4" s="57" t="s">
        <v>56</v>
      </c>
      <c r="L4" s="57" t="s">
        <v>46</v>
      </c>
      <c r="M4" s="60"/>
      <c r="N4" s="60">
        <v>198.0</v>
      </c>
      <c r="O4" s="70" t="s">
        <v>57</v>
      </c>
      <c r="P4" s="43"/>
      <c r="R4" s="64"/>
    </row>
    <row r="5">
      <c r="A5" s="37"/>
      <c r="B5" s="39"/>
      <c r="C5" s="39"/>
      <c r="D5" s="41"/>
      <c r="E5" s="43" t="s">
        <v>34</v>
      </c>
      <c r="F5" s="48">
        <v>43907.0</v>
      </c>
      <c r="G5" s="53" t="s">
        <v>52</v>
      </c>
      <c r="H5" s="55"/>
      <c r="I5" s="57" t="s">
        <v>59</v>
      </c>
      <c r="J5" s="69" t="str">
        <f>HYPERLINK("https://web.microsoftstream.com/video/323315df-3194-44e3-a755-b5a0ee89907a","Microsoft: Support Remote Learning")</f>
        <v>Microsoft: Support Remote Learning</v>
      </c>
      <c r="K5" s="57" t="s">
        <v>62</v>
      </c>
      <c r="L5" s="57" t="s">
        <v>46</v>
      </c>
      <c r="M5" s="60"/>
      <c r="N5" s="60">
        <v>57.0</v>
      </c>
      <c r="O5" s="62" t="s">
        <v>63</v>
      </c>
      <c r="P5" s="43"/>
      <c r="Q5" s="64"/>
      <c r="R5" s="64"/>
    </row>
    <row r="6">
      <c r="A6" s="37"/>
      <c r="B6" s="39"/>
      <c r="C6" s="39"/>
      <c r="D6" s="41"/>
      <c r="E6" s="43" t="s">
        <v>34</v>
      </c>
      <c r="F6" s="48">
        <v>43907.0</v>
      </c>
      <c r="G6" s="57" t="s">
        <v>67</v>
      </c>
      <c r="H6" s="55"/>
      <c r="I6" s="57" t="s">
        <v>68</v>
      </c>
      <c r="J6" s="69" t="str">
        <f>HYPERLINK("https://web.microsoftstream.com/video/87495de2-570e-4d46-b16c-8008a1a3d729","School Library Services")</f>
        <v>School Library Services</v>
      </c>
      <c r="K6" s="57" t="s">
        <v>74</v>
      </c>
      <c r="L6" s="57" t="s">
        <v>46</v>
      </c>
      <c r="M6" s="60"/>
      <c r="N6" s="60">
        <v>44.0</v>
      </c>
      <c r="O6" s="62" t="s">
        <v>75</v>
      </c>
      <c r="P6" s="43"/>
      <c r="Q6" s="64"/>
      <c r="R6" s="64"/>
    </row>
    <row r="7">
      <c r="A7" s="37"/>
      <c r="B7" s="39"/>
      <c r="C7" s="39"/>
      <c r="D7" s="41"/>
      <c r="E7" s="64" t="s">
        <v>34</v>
      </c>
      <c r="F7" s="77">
        <v>43907.0</v>
      </c>
      <c r="G7" s="53" t="s">
        <v>76</v>
      </c>
      <c r="H7" s="78"/>
      <c r="I7" s="57" t="s">
        <v>77</v>
      </c>
      <c r="J7" s="80" t="str">
        <f>HYPERLINK("https://web.microsoftstream.com/video/48c14b1b-7f7f-4aeb-9ccc-fc8aacdc380c","WNET &amp; PBS")</f>
        <v>WNET &amp; PBS</v>
      </c>
      <c r="K7" s="81" t="s">
        <v>81</v>
      </c>
      <c r="L7" s="81" t="s">
        <v>46</v>
      </c>
      <c r="M7" s="82"/>
      <c r="N7" s="82">
        <v>24.0</v>
      </c>
      <c r="O7" s="70" t="s">
        <v>82</v>
      </c>
      <c r="P7" s="64"/>
      <c r="Q7" s="64"/>
      <c r="R7" s="64"/>
    </row>
    <row r="8">
      <c r="A8" s="37"/>
      <c r="B8" s="39"/>
      <c r="C8" s="39"/>
      <c r="D8" s="41"/>
      <c r="E8" s="64" t="s">
        <v>34</v>
      </c>
      <c r="F8" s="77">
        <v>43907.0</v>
      </c>
      <c r="G8" s="53" t="s">
        <v>85</v>
      </c>
      <c r="H8" s="78"/>
      <c r="I8" s="57" t="s">
        <v>86</v>
      </c>
      <c r="J8" s="80" t="str">
        <f>HYPERLINK("https://web.microsoftstream.com/video/398e1b27-db59-4eb0-bea3-106e9ae6a8e0?list=studio","Smart Learning Suite online")</f>
        <v>Smart Learning Suite online</v>
      </c>
      <c r="K8" s="81" t="s">
        <v>91</v>
      </c>
      <c r="L8" s="81" t="s">
        <v>46</v>
      </c>
      <c r="M8" s="82"/>
      <c r="N8" s="82">
        <v>24.0</v>
      </c>
      <c r="O8" s="86" t="s">
        <v>92</v>
      </c>
      <c r="P8" s="64"/>
      <c r="Q8" s="64"/>
      <c r="R8" s="64"/>
    </row>
    <row r="9">
      <c r="A9" s="37"/>
      <c r="B9" s="39"/>
      <c r="C9" s="39"/>
      <c r="D9" s="41"/>
      <c r="E9" s="64" t="s">
        <v>34</v>
      </c>
      <c r="F9" s="77">
        <v>43907.0</v>
      </c>
      <c r="G9" s="53" t="s">
        <v>93</v>
      </c>
      <c r="H9" s="78"/>
      <c r="I9" s="57" t="s">
        <v>94</v>
      </c>
      <c r="J9" s="87"/>
      <c r="K9" s="81" t="s">
        <v>95</v>
      </c>
      <c r="L9" s="81"/>
      <c r="M9" s="82"/>
      <c r="N9" s="82"/>
      <c r="O9" s="88" t="s">
        <v>96</v>
      </c>
      <c r="P9" s="64"/>
      <c r="Q9" s="64"/>
      <c r="R9" s="64"/>
    </row>
    <row r="10">
      <c r="A10" s="37"/>
      <c r="B10" s="39"/>
      <c r="C10" s="39"/>
      <c r="D10" s="41"/>
      <c r="E10" s="64" t="s">
        <v>97</v>
      </c>
      <c r="F10" s="77">
        <v>43908.0</v>
      </c>
      <c r="G10" s="53" t="s">
        <v>38</v>
      </c>
      <c r="H10" s="78"/>
      <c r="I10" s="57" t="s">
        <v>45</v>
      </c>
      <c r="J10" s="87"/>
      <c r="K10" s="81"/>
      <c r="L10" s="57" t="s">
        <v>46</v>
      </c>
      <c r="M10" s="60"/>
      <c r="N10" s="60">
        <v>202.0</v>
      </c>
      <c r="O10" s="62" t="s">
        <v>47</v>
      </c>
      <c r="P10" s="64"/>
      <c r="Q10" s="64"/>
      <c r="R10" s="64"/>
    </row>
    <row r="11">
      <c r="A11" s="37"/>
      <c r="B11" s="39"/>
      <c r="C11" s="39"/>
      <c r="D11" s="41"/>
      <c r="E11" s="64" t="s">
        <v>97</v>
      </c>
      <c r="F11" s="77">
        <v>43908.0</v>
      </c>
      <c r="G11" s="53" t="s">
        <v>85</v>
      </c>
      <c r="H11" s="78"/>
      <c r="I11" s="57" t="s">
        <v>98</v>
      </c>
      <c r="J11" s="80" t="str">
        <f>HYPERLINK("https://web.microsoftstream.com/video/09f0a872-eb09-4454-b5c9-e79fe0190f05","Smart Learning Suite online")</f>
        <v>Smart Learning Suite online</v>
      </c>
      <c r="K11" s="81" t="s">
        <v>101</v>
      </c>
      <c r="L11" s="57" t="s">
        <v>46</v>
      </c>
      <c r="M11" s="82"/>
      <c r="N11" s="82">
        <v>40.0</v>
      </c>
      <c r="O11" s="70" t="s">
        <v>92</v>
      </c>
      <c r="P11" s="64"/>
      <c r="Q11" s="64"/>
      <c r="R11" s="64"/>
    </row>
    <row r="12">
      <c r="A12" s="37"/>
      <c r="B12" s="39"/>
      <c r="C12" s="39"/>
      <c r="D12" s="41"/>
      <c r="E12" s="64" t="s">
        <v>97</v>
      </c>
      <c r="F12" s="77">
        <v>43908.0</v>
      </c>
      <c r="G12" s="94" t="s">
        <v>102</v>
      </c>
      <c r="H12" s="78"/>
      <c r="I12" s="60" t="s">
        <v>105</v>
      </c>
      <c r="J12" s="80" t="str">
        <f>HYPERLINK("https://web.microsoftstream.com/video/3564df50-e985-4537-a43b-aaed4830e136?list=studio","Making Home Learning Accessible for Students with disabilities")</f>
        <v>Making Home Learning Accessible for Students with disabilities</v>
      </c>
      <c r="K12" s="81" t="s">
        <v>71</v>
      </c>
      <c r="L12" s="57" t="s">
        <v>46</v>
      </c>
      <c r="M12" s="82"/>
      <c r="N12" s="82">
        <v>43.0</v>
      </c>
      <c r="O12" s="70" t="s">
        <v>109</v>
      </c>
      <c r="P12" s="64"/>
      <c r="Q12" s="64"/>
      <c r="R12" s="64"/>
    </row>
    <row r="13">
      <c r="A13" s="37"/>
      <c r="B13" s="39"/>
      <c r="C13" s="39"/>
      <c r="D13" s="41"/>
      <c r="E13" s="64" t="s">
        <v>97</v>
      </c>
      <c r="F13" s="77">
        <v>43908.0</v>
      </c>
      <c r="G13" s="97" t="s">
        <v>110</v>
      </c>
      <c r="H13" s="78"/>
      <c r="I13" s="57" t="s">
        <v>112</v>
      </c>
      <c r="J13" s="80" t="str">
        <f>HYPERLINK("https://web.microsoftstream.com/video/f0a059d7-3513-4d41-9b23-5531759a1a17","Distance Learning &amp; Getting Started")</f>
        <v>Distance Learning &amp; Getting Started</v>
      </c>
      <c r="K13" s="97" t="s">
        <v>110</v>
      </c>
      <c r="L13" s="57" t="s">
        <v>46</v>
      </c>
      <c r="M13" s="82"/>
      <c r="N13" s="82">
        <v>25.0</v>
      </c>
      <c r="O13" s="70" t="s">
        <v>114</v>
      </c>
      <c r="P13" s="64"/>
      <c r="Q13" s="64"/>
      <c r="R13" s="64"/>
    </row>
    <row r="14">
      <c r="A14" s="37"/>
      <c r="B14" s="39"/>
      <c r="C14" s="39"/>
      <c r="D14" s="41"/>
      <c r="E14" s="64" t="s">
        <v>115</v>
      </c>
      <c r="F14" s="77">
        <v>43909.0</v>
      </c>
      <c r="G14" s="53" t="s">
        <v>38</v>
      </c>
      <c r="H14" s="78"/>
      <c r="I14" s="57" t="s">
        <v>45</v>
      </c>
      <c r="J14" s="87"/>
      <c r="K14" s="81" t="s">
        <v>116</v>
      </c>
      <c r="L14" s="57" t="s">
        <v>46</v>
      </c>
      <c r="M14" s="82"/>
      <c r="N14" s="82">
        <v>200.0</v>
      </c>
      <c r="O14" s="100" t="s">
        <v>117</v>
      </c>
      <c r="P14" s="64"/>
      <c r="Q14" s="64"/>
      <c r="R14" s="64"/>
    </row>
    <row r="15">
      <c r="A15" s="37"/>
      <c r="B15" s="81"/>
      <c r="C15" s="81"/>
      <c r="D15" s="101"/>
      <c r="E15" s="64" t="s">
        <v>115</v>
      </c>
      <c r="F15" s="77">
        <v>43909.0</v>
      </c>
      <c r="G15" s="53" t="s">
        <v>120</v>
      </c>
      <c r="H15" s="78"/>
      <c r="I15" s="57" t="s">
        <v>121</v>
      </c>
      <c r="J15" s="80" t="str">
        <f>HYPERLINK("https://web.microsoftstream.com/video/346ca7a5-4843-4e6b-84ad-241f724786fd","Microsoft: Increasing Accessibility and Fostering Inclusive Classrooms")</f>
        <v>Microsoft: Increasing Accessibility and Fostering Inclusive Classrooms</v>
      </c>
      <c r="K15" s="81" t="s">
        <v>52</v>
      </c>
      <c r="L15" s="57" t="s">
        <v>46</v>
      </c>
      <c r="M15" s="82"/>
      <c r="N15" s="82">
        <v>10.0</v>
      </c>
      <c r="O15" s="100" t="s">
        <v>122</v>
      </c>
      <c r="P15" s="64"/>
      <c r="Q15" s="64"/>
      <c r="R15" s="64"/>
    </row>
    <row r="16">
      <c r="A16" s="37"/>
      <c r="B16" s="81"/>
      <c r="C16" s="81"/>
      <c r="D16" s="101"/>
      <c r="E16" s="64" t="s">
        <v>115</v>
      </c>
      <c r="F16" s="77">
        <v>43909.0</v>
      </c>
      <c r="G16" s="53" t="s">
        <v>123</v>
      </c>
      <c r="H16" s="78"/>
      <c r="I16" s="57" t="s">
        <v>124</v>
      </c>
      <c r="J16" s="80" t="str">
        <f>HYPERLINK("https://web.microsoftstream.com/video/ac95b2c3-df3c-401c-9ab0-dedadbd9f622","Common Sense Education")</f>
        <v>Common Sense Education</v>
      </c>
      <c r="K16" s="81"/>
      <c r="L16" s="57" t="s">
        <v>46</v>
      </c>
      <c r="M16" s="82"/>
      <c r="N16" s="82">
        <v>18.0</v>
      </c>
      <c r="O16" s="104" t="s">
        <v>28</v>
      </c>
      <c r="P16" s="64"/>
      <c r="Q16" s="64"/>
      <c r="R16" s="64"/>
    </row>
    <row r="17">
      <c r="A17" s="37"/>
      <c r="B17" s="39"/>
      <c r="C17" s="39"/>
      <c r="D17" s="41"/>
      <c r="E17" s="64" t="s">
        <v>115</v>
      </c>
      <c r="F17" s="105">
        <v>43909.0</v>
      </c>
      <c r="G17" s="53" t="s">
        <v>128</v>
      </c>
      <c r="H17" s="78"/>
      <c r="I17" s="57" t="s">
        <v>59</v>
      </c>
      <c r="J17" s="80" t="str">
        <f>HYPERLINK("https://web.microsoftstream.com/video/14eb9096-a201-4057-b2dd-586c7e798b54","Everfi with Chloe Sanducci")</f>
        <v>Everfi with Chloe Sanducci</v>
      </c>
      <c r="K17" s="81" t="s">
        <v>128</v>
      </c>
      <c r="L17" s="57" t="s">
        <v>46</v>
      </c>
      <c r="M17" s="82"/>
      <c r="N17" s="82">
        <v>16.0</v>
      </c>
      <c r="O17" s="104" t="s">
        <v>129</v>
      </c>
      <c r="P17" s="64"/>
      <c r="Q17" s="64"/>
      <c r="R17" s="64"/>
    </row>
    <row r="18">
      <c r="A18" s="37"/>
      <c r="B18" s="81"/>
      <c r="C18" s="81"/>
      <c r="D18" s="101"/>
      <c r="E18" s="64" t="s">
        <v>130</v>
      </c>
      <c r="F18" s="106">
        <v>43910.0</v>
      </c>
      <c r="G18" s="53" t="s">
        <v>133</v>
      </c>
      <c r="H18" s="78"/>
      <c r="I18" s="57" t="s">
        <v>134</v>
      </c>
      <c r="J18" s="80" t="str">
        <f>HYPERLINK("https://meet.google.com/dxs-xcue-dif","Google Classroom Basics at 8 a.m.")</f>
        <v>Google Classroom Basics at 8 a.m.</v>
      </c>
      <c r="K18" s="81" t="s">
        <v>135</v>
      </c>
      <c r="L18" s="81"/>
      <c r="M18" s="108" t="str">
        <f>HYPERLINK("https://drive.google.com/file/d/1KG1z4hYf_x4p8gnfJ8ASKfplbUI_j5gR/view?usp=sharing","Recorded Meet")</f>
        <v>Recorded Meet</v>
      </c>
      <c r="N18" s="82"/>
      <c r="O18" s="76" t="s">
        <v>138</v>
      </c>
      <c r="P18" s="64"/>
      <c r="Q18" s="64"/>
      <c r="R18" s="64"/>
    </row>
    <row r="19">
      <c r="A19" s="37"/>
      <c r="B19" s="81"/>
      <c r="C19" s="81"/>
      <c r="D19" s="101"/>
      <c r="E19" s="64" t="s">
        <v>130</v>
      </c>
      <c r="F19" s="106">
        <v>43910.0</v>
      </c>
      <c r="G19" s="110" t="s">
        <v>140</v>
      </c>
      <c r="H19" s="111"/>
      <c r="I19" s="59" t="s">
        <v>141</v>
      </c>
      <c r="J19" s="80" t="str">
        <f>HYPERLINK("https://teams.microsoft.com/l/meetup-join/19%3ad8ff77c2e2d5476bbcde9fe502289901%40thread.skype/1584649665398?context=%7b%22Tid%22%3a%2218492cb7-ef45-4561-8571-0c42e5f7ac07%22%2c%22Oid%22%3a%2223887be3-a68f-4f4a-baba-98ea4e2f07bb%22%7d","Join the Team Chat")</f>
        <v>Join the Team Chat</v>
      </c>
      <c r="K19" s="81" t="s">
        <v>145</v>
      </c>
      <c r="L19" s="81"/>
      <c r="M19" s="54"/>
      <c r="N19" s="54"/>
      <c r="O19" s="76" t="s">
        <v>148</v>
      </c>
      <c r="P19" s="64"/>
      <c r="Q19" s="64"/>
      <c r="R19" s="64"/>
    </row>
    <row r="20">
      <c r="A20" s="42"/>
      <c r="B20" s="44"/>
      <c r="C20" s="44"/>
      <c r="D20" s="46"/>
      <c r="E20" s="64" t="s">
        <v>130</v>
      </c>
      <c r="F20" s="106">
        <v>43910.0</v>
      </c>
      <c r="G20" s="53" t="s">
        <v>150</v>
      </c>
      <c r="H20" s="54"/>
      <c r="I20" s="59" t="s">
        <v>43</v>
      </c>
      <c r="J20" s="116" t="s">
        <v>126</v>
      </c>
      <c r="K20" s="81" t="s">
        <v>52</v>
      </c>
      <c r="L20" s="81"/>
      <c r="M20" s="54"/>
      <c r="N20" s="54"/>
      <c r="O20" s="76" t="s">
        <v>54</v>
      </c>
      <c r="P20" s="64"/>
      <c r="Q20" s="64"/>
      <c r="R20" s="64"/>
    </row>
    <row r="21">
      <c r="A21" s="42"/>
      <c r="B21" s="44"/>
      <c r="C21" s="44"/>
      <c r="D21" s="46"/>
      <c r="E21" s="64" t="s">
        <v>130</v>
      </c>
      <c r="F21" s="106">
        <v>43910.0</v>
      </c>
      <c r="G21" s="110" t="s">
        <v>161</v>
      </c>
      <c r="H21" s="54"/>
      <c r="I21" s="59" t="s">
        <v>43</v>
      </c>
      <c r="J21" s="116" t="s">
        <v>126</v>
      </c>
      <c r="K21" s="81" t="s">
        <v>52</v>
      </c>
      <c r="L21" s="81"/>
      <c r="M21" s="54"/>
      <c r="N21" s="54"/>
      <c r="O21" s="127" t="s">
        <v>61</v>
      </c>
      <c r="P21" s="64"/>
      <c r="Q21" s="64"/>
      <c r="R21" s="64"/>
    </row>
    <row r="22">
      <c r="A22" s="42"/>
      <c r="B22" s="44"/>
      <c r="C22" s="44"/>
      <c r="D22" s="46"/>
      <c r="E22" s="64" t="s">
        <v>130</v>
      </c>
      <c r="F22" s="106">
        <v>43910.0</v>
      </c>
      <c r="G22" s="53" t="s">
        <v>169</v>
      </c>
      <c r="H22" s="54"/>
      <c r="I22" s="59" t="s">
        <v>170</v>
      </c>
      <c r="J22" s="80" t="str">
        <f>HYPERLINK("https://teams.microsoft.com/l/meetup-join/19%3ad8ff77c2e2d5476bbcde9fe502289901%40thread.skype/1584647363999?context=%7b%22Tid%22%3a%2218492cb7-ef45-4561-8571-0c42e5f7ac07%22%2c%22Oid%22%3a%2223887be3-a68f-4f4a-baba-98ea4e2f07bb%22%7d","Join and Ask Your ?s")</f>
        <v>Join and Ask Your ?s</v>
      </c>
      <c r="K22" s="81" t="s">
        <v>145</v>
      </c>
      <c r="L22" s="81"/>
      <c r="M22" s="54"/>
      <c r="N22" s="54"/>
      <c r="O22" s="76" t="s">
        <v>171</v>
      </c>
      <c r="P22" s="64"/>
      <c r="Q22" s="64"/>
      <c r="R22" s="64"/>
    </row>
    <row r="23" ht="21.75" customHeight="1">
      <c r="A23" s="128"/>
      <c r="B23" s="57"/>
      <c r="C23" s="57"/>
      <c r="D23" s="129"/>
      <c r="E23" s="64" t="s">
        <v>130</v>
      </c>
      <c r="F23" s="106">
        <v>43910.0</v>
      </c>
      <c r="G23" s="130" t="s">
        <v>125</v>
      </c>
      <c r="H23" s="58"/>
      <c r="I23" s="59" t="s">
        <v>174</v>
      </c>
      <c r="J23" s="116" t="s">
        <v>126</v>
      </c>
      <c r="K23" s="133" t="s">
        <v>178</v>
      </c>
      <c r="L23" s="133"/>
      <c r="M23" s="58"/>
      <c r="N23" s="58"/>
      <c r="O23" s="135"/>
      <c r="P23" s="43"/>
      <c r="Q23" s="43"/>
      <c r="R23" s="43"/>
    </row>
    <row r="24">
      <c r="A24" s="37"/>
      <c r="B24" s="81"/>
      <c r="C24" s="81"/>
      <c r="D24" s="101"/>
      <c r="E24" s="64" t="s">
        <v>130</v>
      </c>
      <c r="F24" s="106">
        <v>43910.0</v>
      </c>
      <c r="G24" s="110" t="s">
        <v>183</v>
      </c>
      <c r="H24" s="136"/>
      <c r="I24" s="81" t="s">
        <v>45</v>
      </c>
      <c r="J24" s="80" t="str">
        <f>HYPERLINK("https://teams.microsoft.com/l/meetup-join/19%3ad8ff77c2e2d5476bbcde9fe502289901%40thread.skype/1584647572156?context=%7b%22Tid%22%3a%2218492cb7-ef45-4561-8571-0c42e5f7ac07%22%2c%22Oid%22%3a%2223887be3-a68f-4f4a-baba-98ea4e2f07bb%22%7d","Join D75 Google")</f>
        <v>Join D75 Google</v>
      </c>
      <c r="K24" s="81" t="s">
        <v>145</v>
      </c>
      <c r="L24" s="81"/>
      <c r="M24" s="80" t="str">
        <f>HYPERLINK("https://docs.google.com/document/d/1wLHYblRjULNftltkl45urB8CsTCOOHR7Gu477a7ssM4/edit?usp=sharing","D75 GSuite")</f>
        <v>D75 GSuite</v>
      </c>
      <c r="N24" s="80"/>
      <c r="O24" s="76" t="s">
        <v>190</v>
      </c>
      <c r="P24" s="64"/>
      <c r="Q24" s="64"/>
      <c r="R24" s="64"/>
    </row>
    <row r="25">
      <c r="A25" s="42"/>
      <c r="B25" s="44"/>
      <c r="C25" s="44"/>
      <c r="D25" s="46"/>
      <c r="E25" s="64" t="s">
        <v>130</v>
      </c>
      <c r="F25" s="106">
        <v>43910.0</v>
      </c>
      <c r="G25" s="53" t="s">
        <v>191</v>
      </c>
      <c r="H25" s="54"/>
      <c r="I25" s="81" t="s">
        <v>192</v>
      </c>
      <c r="J25" s="54" t="s">
        <v>193</v>
      </c>
      <c r="K25" s="81" t="s">
        <v>145</v>
      </c>
      <c r="L25" s="81"/>
      <c r="M25" s="80" t="str">
        <f>HYPERLINK("https://otis.teq.com/","Learn More")</f>
        <v>Learn More</v>
      </c>
      <c r="N25" s="80"/>
      <c r="O25" s="76" t="s">
        <v>194</v>
      </c>
      <c r="P25" s="64"/>
      <c r="Q25" s="64"/>
      <c r="R25" s="64"/>
    </row>
    <row r="26">
      <c r="A26" s="128"/>
      <c r="B26" s="57"/>
      <c r="C26" s="57"/>
      <c r="D26" s="129"/>
      <c r="E26" s="64" t="s">
        <v>130</v>
      </c>
      <c r="F26" s="106">
        <v>43910.0</v>
      </c>
      <c r="G26" s="130" t="s">
        <v>55</v>
      </c>
      <c r="H26" s="58"/>
      <c r="I26" s="59" t="s">
        <v>195</v>
      </c>
      <c r="J26" s="116" t="s">
        <v>126</v>
      </c>
      <c r="K26" s="133" t="s">
        <v>178</v>
      </c>
      <c r="L26" s="133"/>
      <c r="M26" s="58"/>
      <c r="N26" s="58"/>
      <c r="O26" s="135"/>
      <c r="P26" s="43"/>
      <c r="Q26" s="43"/>
      <c r="R26" s="43"/>
    </row>
    <row r="27">
      <c r="A27" s="42"/>
      <c r="B27" s="44"/>
      <c r="C27" s="44"/>
      <c r="D27" s="46"/>
      <c r="E27" s="64" t="s">
        <v>130</v>
      </c>
      <c r="F27" s="106">
        <v>43910.0</v>
      </c>
      <c r="G27" s="53" t="s">
        <v>150</v>
      </c>
      <c r="H27" s="54"/>
      <c r="I27" s="59" t="s">
        <v>188</v>
      </c>
      <c r="J27" s="116" t="s">
        <v>126</v>
      </c>
      <c r="K27" s="81" t="s">
        <v>52</v>
      </c>
      <c r="L27" s="81"/>
      <c r="M27" s="54"/>
      <c r="N27" s="54"/>
      <c r="O27" s="76" t="s">
        <v>54</v>
      </c>
      <c r="P27" s="64"/>
      <c r="Q27" s="64"/>
      <c r="R27" s="64"/>
    </row>
    <row r="28">
      <c r="A28" s="42"/>
      <c r="B28" s="44"/>
      <c r="C28" s="44"/>
      <c r="D28" s="46"/>
      <c r="E28" s="64" t="s">
        <v>130</v>
      </c>
      <c r="F28" s="106">
        <v>43910.0</v>
      </c>
      <c r="G28" s="110" t="s">
        <v>161</v>
      </c>
      <c r="H28" s="54"/>
      <c r="I28" s="59" t="s">
        <v>188</v>
      </c>
      <c r="J28" s="116" t="s">
        <v>126</v>
      </c>
      <c r="K28" s="81" t="s">
        <v>52</v>
      </c>
      <c r="L28" s="81"/>
      <c r="M28" s="54"/>
      <c r="N28" s="54"/>
      <c r="O28" s="127" t="s">
        <v>61</v>
      </c>
      <c r="P28" s="64"/>
      <c r="Q28" s="64"/>
      <c r="R28" s="64"/>
    </row>
    <row r="29" ht="29.25" customHeight="1">
      <c r="A29" s="42"/>
      <c r="B29" s="44"/>
      <c r="C29" s="44"/>
      <c r="D29" s="46"/>
      <c r="E29" s="64" t="s">
        <v>130</v>
      </c>
      <c r="F29" s="106">
        <v>43910.0</v>
      </c>
      <c r="G29" s="53" t="s">
        <v>133</v>
      </c>
      <c r="H29" s="152"/>
      <c r="I29" s="44" t="s">
        <v>220</v>
      </c>
      <c r="J29" s="80" t="str">
        <f>HYPERLINK("https://meet.google.com/ddu-erzs-dmc","Google Classroom Basics 1 p.m.")</f>
        <v>Google Classroom Basics 1 p.m.</v>
      </c>
      <c r="K29" s="81" t="s">
        <v>135</v>
      </c>
      <c r="L29" s="81"/>
      <c r="M29" s="108" t="str">
        <f>HYPERLINK("https://drive.google.com/file/d/1IJjpWCS5OEpaJoEKcf1PVX06B3LNTSIC/view?usp=sharing","Recorded Meet")</f>
        <v>Recorded Meet</v>
      </c>
      <c r="N29" s="82"/>
      <c r="O29" s="76" t="s">
        <v>138</v>
      </c>
      <c r="P29" s="64"/>
      <c r="Q29" s="64"/>
      <c r="R29" s="64"/>
    </row>
    <row r="30">
      <c r="A30" s="37"/>
      <c r="B30" s="81"/>
      <c r="C30" s="81"/>
      <c r="D30" s="101"/>
      <c r="E30" s="64" t="s">
        <v>130</v>
      </c>
      <c r="F30" s="106">
        <v>43910.0</v>
      </c>
      <c r="G30" s="110" t="s">
        <v>227</v>
      </c>
      <c r="H30" s="136"/>
      <c r="I30" s="81" t="s">
        <v>188</v>
      </c>
      <c r="J30" s="80" t="str">
        <f>HYPERLINK("https://us04web.zoom.us/j/120729286","Join Zoom 1pm")</f>
        <v>Join Zoom 1pm</v>
      </c>
      <c r="K30" s="81" t="s">
        <v>145</v>
      </c>
      <c r="L30" s="81"/>
      <c r="M30" s="80"/>
      <c r="N30" s="80"/>
      <c r="O30" s="76" t="s">
        <v>228</v>
      </c>
      <c r="P30" s="64"/>
      <c r="Q30" s="64"/>
      <c r="R30" s="64"/>
    </row>
    <row r="31">
      <c r="A31" s="128"/>
      <c r="B31" s="57"/>
      <c r="C31" s="57"/>
      <c r="D31" s="129"/>
      <c r="E31" s="64" t="s">
        <v>130</v>
      </c>
      <c r="F31" s="106">
        <v>43910.0</v>
      </c>
      <c r="G31" s="130" t="s">
        <v>125</v>
      </c>
      <c r="H31" s="58"/>
      <c r="I31" s="59" t="s">
        <v>229</v>
      </c>
      <c r="J31" s="116" t="s">
        <v>126</v>
      </c>
      <c r="K31" s="133" t="s">
        <v>178</v>
      </c>
      <c r="L31" s="133"/>
      <c r="M31" s="58"/>
      <c r="N31" s="58"/>
      <c r="O31" s="135"/>
      <c r="P31" s="43"/>
      <c r="Q31" s="43"/>
      <c r="R31" s="43"/>
    </row>
    <row r="32">
      <c r="A32" s="42"/>
      <c r="B32" s="44"/>
      <c r="C32" s="44"/>
      <c r="D32" s="46"/>
      <c r="E32" s="64" t="s">
        <v>130</v>
      </c>
      <c r="F32" s="106">
        <v>43910.0</v>
      </c>
      <c r="G32" s="53" t="s">
        <v>119</v>
      </c>
      <c r="H32" s="54"/>
      <c r="I32" s="81" t="s">
        <v>236</v>
      </c>
      <c r="J32" s="80" t="str">
        <f>HYPERLINK("https://teams.microsoft.com/l/meetup-join/19%3ad8ff77c2e2d5476bbcde9fe502289901%40thread.skype/1584648194248?context=%7b%22Tid%22%3a%2218492cb7-ef45-4561-8571-0c42e5f7ac07%22%2c%22Oid%22%3a%2223887be3-a68f-4f4a-baba-98ea4e2f07bb%22%7d","Join the Flipgrid Fever")</f>
        <v>Join the Flipgrid Fever</v>
      </c>
      <c r="K32" s="81" t="s">
        <v>145</v>
      </c>
      <c r="L32" s="81"/>
      <c r="M32" s="80" t="str">
        <f>HYPERLINK("http://bit.ly/FlipgridFeverAgenda","Flipgrid Agenda")</f>
        <v>Flipgrid Agenda</v>
      </c>
      <c r="N32" s="80"/>
      <c r="O32" s="76" t="s">
        <v>239</v>
      </c>
      <c r="P32" s="64"/>
      <c r="Q32" s="64"/>
      <c r="R32" s="64"/>
    </row>
    <row r="33">
      <c r="A33" s="37"/>
      <c r="B33" s="81"/>
      <c r="C33" s="81"/>
      <c r="D33" s="101"/>
      <c r="E33" s="64" t="s">
        <v>130</v>
      </c>
      <c r="F33" s="106">
        <v>43910.0</v>
      </c>
      <c r="G33" s="53" t="s">
        <v>240</v>
      </c>
      <c r="H33" s="136"/>
      <c r="I33" s="159" t="s">
        <v>242</v>
      </c>
      <c r="J33" s="80" t="str">
        <f>HYPERLINK("https://meet.google.com/vjh-sdvq-keu","Google Chrome Extensions 2:30 p.m.")</f>
        <v>Google Chrome Extensions 2:30 p.m.</v>
      </c>
      <c r="K33" s="160" t="s">
        <v>135</v>
      </c>
      <c r="L33" s="160"/>
      <c r="M33" s="80" t="str">
        <f>HYPERLINK("https://drive.google.com/file/d/1sRj7EnBl7du6LIXHHfgQ4FgQOR6E_Ybv/view?usp=sharing","Recorded Meet")</f>
        <v>Recorded Meet</v>
      </c>
      <c r="N33" s="80"/>
      <c r="O33" s="161" t="s">
        <v>244</v>
      </c>
      <c r="P33" s="64"/>
      <c r="Q33" s="64"/>
      <c r="R33" s="64"/>
    </row>
    <row r="34">
      <c r="A34" s="128"/>
      <c r="B34" s="57"/>
      <c r="C34" s="57"/>
      <c r="D34" s="129"/>
      <c r="E34" s="64" t="s">
        <v>130</v>
      </c>
      <c r="F34" s="106">
        <v>43910.0</v>
      </c>
      <c r="G34" s="130" t="s">
        <v>245</v>
      </c>
      <c r="H34" s="58"/>
      <c r="I34" s="59" t="s">
        <v>246</v>
      </c>
      <c r="J34" s="116" t="s">
        <v>126</v>
      </c>
      <c r="K34" s="133" t="s">
        <v>178</v>
      </c>
      <c r="L34" s="133"/>
      <c r="M34" s="58"/>
      <c r="N34" s="58"/>
      <c r="O34" s="135" t="s">
        <v>252</v>
      </c>
      <c r="P34" s="43"/>
      <c r="Q34" s="43"/>
      <c r="R34" s="43"/>
    </row>
    <row r="35" ht="19.5" customHeight="1">
      <c r="A35" s="42"/>
      <c r="B35" s="44"/>
      <c r="C35" s="44"/>
      <c r="D35" s="46"/>
      <c r="E35" s="64" t="s">
        <v>130</v>
      </c>
      <c r="F35" s="106">
        <v>43910.0</v>
      </c>
      <c r="G35" s="53" t="s">
        <v>150</v>
      </c>
      <c r="H35" s="54"/>
      <c r="I35" s="59" t="s">
        <v>250</v>
      </c>
      <c r="J35" s="116" t="s">
        <v>126</v>
      </c>
      <c r="K35" s="81" t="s">
        <v>52</v>
      </c>
      <c r="L35" s="81"/>
      <c r="M35" s="54"/>
      <c r="N35" s="54"/>
      <c r="O35" s="76" t="s">
        <v>54</v>
      </c>
      <c r="P35" s="64"/>
      <c r="Q35" s="64"/>
      <c r="R35" s="64"/>
    </row>
    <row r="36">
      <c r="A36" s="42"/>
      <c r="B36" s="44"/>
      <c r="C36" s="44"/>
      <c r="D36" s="46"/>
      <c r="E36" s="64" t="s">
        <v>130</v>
      </c>
      <c r="F36" s="106">
        <v>43910.0</v>
      </c>
      <c r="G36" s="110" t="s">
        <v>161</v>
      </c>
      <c r="H36" s="54"/>
      <c r="I36" s="59" t="s">
        <v>250</v>
      </c>
      <c r="J36" s="116" t="s">
        <v>126</v>
      </c>
      <c r="K36" s="81" t="s">
        <v>52</v>
      </c>
      <c r="L36" s="81"/>
      <c r="M36" s="54"/>
      <c r="N36" s="54"/>
      <c r="O36" s="127" t="s">
        <v>61</v>
      </c>
      <c r="P36" s="64"/>
      <c r="Q36" s="64"/>
      <c r="R36" s="64"/>
    </row>
    <row r="37" ht="19.5" customHeight="1">
      <c r="A37" s="42"/>
      <c r="B37" s="44"/>
      <c r="C37" s="44"/>
      <c r="D37" s="46"/>
      <c r="E37" s="64" t="s">
        <v>130</v>
      </c>
      <c r="F37" s="106">
        <v>43910.0</v>
      </c>
      <c r="G37" s="53" t="s">
        <v>125</v>
      </c>
      <c r="H37" s="54"/>
      <c r="I37" s="59" t="s">
        <v>262</v>
      </c>
      <c r="J37" s="107" t="s">
        <v>126</v>
      </c>
      <c r="K37" s="81" t="s">
        <v>264</v>
      </c>
      <c r="L37" s="81"/>
      <c r="M37" s="80" t="str">
        <f>HYPERLINK("https://docs.google.com/document/d/1vDJ1ESBrN-Wea1cAwLeMDmJHHnLvqXSPhjrECrwqxKE/edit#","Classroom Agenda")</f>
        <v>Classroom Agenda</v>
      </c>
      <c r="N37" s="80"/>
      <c r="O37" s="76"/>
      <c r="P37" s="64"/>
      <c r="Q37" s="64"/>
      <c r="R37" s="64"/>
    </row>
    <row r="38">
      <c r="A38" s="11"/>
      <c r="B38" s="13"/>
      <c r="C38" s="13"/>
      <c r="D38" s="15"/>
      <c r="E38" s="17" t="s">
        <v>266</v>
      </c>
      <c r="F38" s="17" t="s">
        <v>266</v>
      </c>
      <c r="G38" s="19" t="s">
        <v>267</v>
      </c>
      <c r="H38" s="20"/>
      <c r="I38" s="21"/>
      <c r="J38" s="22"/>
      <c r="K38" s="24"/>
      <c r="L38" s="26"/>
      <c r="M38" s="28" t="s">
        <v>30</v>
      </c>
      <c r="N38" s="28">
        <f>N39+N59+N77</f>
        <v>4374</v>
      </c>
      <c r="O38" s="36"/>
      <c r="P38" s="17"/>
      <c r="Q38" s="17"/>
      <c r="R38" s="17"/>
    </row>
    <row r="39">
      <c r="A39" s="23"/>
      <c r="B39" s="25"/>
      <c r="C39" s="25"/>
      <c r="D39" s="27"/>
      <c r="E39" s="174"/>
      <c r="F39" s="40"/>
      <c r="G39" s="30"/>
      <c r="H39" s="31"/>
      <c r="I39" s="32"/>
      <c r="J39" s="175"/>
      <c r="K39" s="176"/>
      <c r="L39" s="30"/>
      <c r="M39" s="38" t="s">
        <v>268</v>
      </c>
      <c r="N39" s="179">
        <f>sum(N40:N57)</f>
        <v>1012</v>
      </c>
      <c r="O39" s="181"/>
      <c r="P39" s="40"/>
      <c r="Q39" s="40"/>
      <c r="R39" s="40"/>
    </row>
    <row r="40" ht="18.0" customHeight="1">
      <c r="A40" s="42"/>
      <c r="B40" s="44"/>
      <c r="C40" s="44"/>
      <c r="D40" s="46"/>
      <c r="E40" s="183" t="s">
        <v>270</v>
      </c>
      <c r="F40" s="184">
        <v>43913.0</v>
      </c>
      <c r="G40" s="53" t="s">
        <v>271</v>
      </c>
      <c r="H40" s="54"/>
      <c r="I40" s="59" t="s">
        <v>43</v>
      </c>
      <c r="J40" s="71" t="str">
        <f>HYPERLINK("https://teams.microsoft.com/l/meetup-join/19%3ameeting_YzhkZDFkMjItYjBmMy00ZmUyLWJkZWUtYzE5ZGZlNjk0N2Qw%40thread.v2/0?context=%7b%22Tid%22%3a%2218492cb7-ef45-4561-8571-0c42e5f7ac07%22%2c%22Oid%22%3a%22330b8c37-6819-4c0a-ba6b-72395a392551%22%7d","Join Microsoft Teams Meeting")</f>
        <v>Join Microsoft Teams Meeting</v>
      </c>
      <c r="K40" s="81" t="s">
        <v>272</v>
      </c>
      <c r="L40" s="67" t="s">
        <v>273</v>
      </c>
      <c r="M40" s="80" t="str">
        <f t="shared" ref="M40:M41" si="1">HYPERLINK("https://docs.google.com/document/d/1DeKB6OC4p1cPyan5Yy62oUI1VgjnVNSxAqr95SflCFY/edit?usp=sharing","MSFT Agenda")</f>
        <v>MSFT Agenda</v>
      </c>
      <c r="N40" s="188">
        <v>58.0</v>
      </c>
      <c r="O40" s="76" t="s">
        <v>54</v>
      </c>
      <c r="P40" s="64"/>
      <c r="Q40" s="64"/>
      <c r="R40" s="64"/>
    </row>
    <row r="41">
      <c r="A41" s="42"/>
      <c r="B41" s="44"/>
      <c r="C41" s="44"/>
      <c r="D41" s="46"/>
      <c r="E41" s="183" t="s">
        <v>270</v>
      </c>
      <c r="F41" s="189">
        <v>43913.0</v>
      </c>
      <c r="G41" s="53" t="s">
        <v>161</v>
      </c>
      <c r="H41" s="54"/>
      <c r="I41" s="59" t="s">
        <v>43</v>
      </c>
      <c r="J41" s="71" t="str">
        <f>HYPERLINK("https://teams.microsoft.com/l/meetup-join/19%3ameeting_MTM3ZTM0NWItYzk2NC00ZDE4LWE5MjEtNWEyM2IxNjcwNWI4%40thread.v2/0?context=%7b%22Tid%22%3a%2218492cb7-ef45-4561-8571-0c42e5f7ac07%22%2c%22Oid%22%3a%22330b8c37-6819-4c0a-ba6b-72395a392551%22%7d","Join Microsoft Teams Meeting")</f>
        <v>Join Microsoft Teams Meeting</v>
      </c>
      <c r="K41" s="81" t="s">
        <v>277</v>
      </c>
      <c r="L41" s="67" t="s">
        <v>164</v>
      </c>
      <c r="M41" s="80" t="str">
        <f t="shared" si="1"/>
        <v>MSFT Agenda</v>
      </c>
      <c r="N41" s="188">
        <v>45.0</v>
      </c>
      <c r="O41" s="127" t="s">
        <v>61</v>
      </c>
      <c r="P41" s="64"/>
      <c r="Q41" s="64"/>
      <c r="R41" s="64"/>
    </row>
    <row r="42">
      <c r="A42" s="191">
        <v>43913.0</v>
      </c>
      <c r="B42" s="44" t="s">
        <v>279</v>
      </c>
      <c r="C42" s="44" t="s">
        <v>66</v>
      </c>
      <c r="D42" s="46"/>
      <c r="E42" s="183" t="s">
        <v>270</v>
      </c>
      <c r="F42" s="189">
        <v>43913.0</v>
      </c>
      <c r="G42" s="53" t="s">
        <v>279</v>
      </c>
      <c r="H42" s="54" t="s">
        <v>66</v>
      </c>
      <c r="I42" s="59" t="s">
        <v>66</v>
      </c>
      <c r="J42" s="164" t="str">
        <f>HYPERLINK("https://teams.microsoft.com/l/meetup-join/19%3ad8ff77c2e2d5476bbcde9fe502289901%40thread.skype/1584904522677?context=%7b%22Tid%22%3a%2218492cb7-ef45-4561-8571-0c42e5f7ac07%22%2c%22Oid%22%3a%2223887be3-a68f-4f4a-baba-98ea4e2f07bb%22%7d","Join Microsoft Team Meeting")</f>
        <v>Join Microsoft Team Meeting</v>
      </c>
      <c r="K42" s="197" t="str">
        <f t="shared" ref="K42:L42" si="2">HYPERLINK("https://d75stem.d75edu.com/","D75 STEM Team")</f>
        <v>D75 STEM Team</v>
      </c>
      <c r="L42" s="200" t="str">
        <f t="shared" si="2"/>
        <v>D75 STEM Team</v>
      </c>
      <c r="M42" s="79" t="s">
        <v>282</v>
      </c>
      <c r="N42" s="211">
        <v>34.0</v>
      </c>
      <c r="O42" s="186" t="s">
        <v>99</v>
      </c>
      <c r="P42" s="64"/>
      <c r="Q42" s="64"/>
      <c r="R42" s="64"/>
    </row>
    <row r="43">
      <c r="A43" s="42"/>
      <c r="B43" s="44"/>
      <c r="C43" s="44"/>
      <c r="D43" s="46"/>
      <c r="E43" s="183" t="s">
        <v>270</v>
      </c>
      <c r="F43" s="189">
        <v>43913.0</v>
      </c>
      <c r="G43" s="53" t="s">
        <v>125</v>
      </c>
      <c r="H43" s="54"/>
      <c r="I43" s="59" t="s">
        <v>45</v>
      </c>
      <c r="J43" s="164" t="str">
        <f>HYPERLINK("https://meet.google.com/bec-bhks-kuw","Join Google Meet")</f>
        <v>Join Google Meet</v>
      </c>
      <c r="K43" s="81" t="s">
        <v>286</v>
      </c>
      <c r="L43" s="72" t="s">
        <v>287</v>
      </c>
      <c r="M43" s="80" t="str">
        <f>HYPERLINK("https://docs.google.com/document/d/1vDJ1ESBrN-Wea1cAwLeMDmJHHnLvqXSPhjrECrwqxKE/edit?usp=sharing","Google Demo Agenda")</f>
        <v>Google Demo Agenda</v>
      </c>
      <c r="N43" s="188">
        <v>94.0</v>
      </c>
      <c r="O43" s="76" t="s">
        <v>138</v>
      </c>
      <c r="P43" s="64"/>
      <c r="Q43" s="64"/>
      <c r="R43" s="64"/>
    </row>
    <row r="44">
      <c r="A44" s="191">
        <v>43913.0</v>
      </c>
      <c r="B44" s="44" t="s">
        <v>294</v>
      </c>
      <c r="C44" s="44" t="s">
        <v>113</v>
      </c>
      <c r="D44" s="46"/>
      <c r="E44" s="183" t="s">
        <v>270</v>
      </c>
      <c r="F44" s="189">
        <v>43913.0</v>
      </c>
      <c r="G44" s="53" t="s">
        <v>294</v>
      </c>
      <c r="H44" s="54" t="s">
        <v>113</v>
      </c>
      <c r="I44" s="59" t="s">
        <v>113</v>
      </c>
      <c r="J44" s="164" t="str">
        <f>HYPERLINK("https://teams.microsoft.com/l/meetup-join/19%3ad8ff77c2e2d5476bbcde9fe502289901%40thread.skype/1584904794535?context=%7b%22Tid%22%3a%2218492cb7-ef45-4561-8571-0c42e5f7ac07%22%2c%22Oid%22%3a%2223887be3-a68f-4f4a-baba-98ea4e2f07bb%22%7d","Join Microsoft Teams Meeting")</f>
        <v>Join Microsoft Teams Meeting</v>
      </c>
      <c r="K44" s="197" t="str">
        <f>HYPERLINK("https://otis.teq.com/","TEQ")</f>
        <v>TEQ</v>
      </c>
      <c r="L44" s="200" t="str">
        <f>HYPERLINK("https://d75stem.d75edu.com/","D75 STEM Team")</f>
        <v>D75 STEM Team</v>
      </c>
      <c r="M44" s="79" t="s">
        <v>296</v>
      </c>
      <c r="N44" s="211">
        <v>43.0</v>
      </c>
      <c r="O44" s="186" t="s">
        <v>299</v>
      </c>
      <c r="P44" s="64"/>
      <c r="Q44" s="64"/>
      <c r="R44" s="64"/>
    </row>
    <row r="45">
      <c r="A45" s="191">
        <v>43913.0</v>
      </c>
      <c r="B45" s="44" t="s">
        <v>279</v>
      </c>
      <c r="C45" s="44" t="s">
        <v>300</v>
      </c>
      <c r="D45" s="46"/>
      <c r="E45" s="183" t="s">
        <v>270</v>
      </c>
      <c r="F45" s="189">
        <v>43913.0</v>
      </c>
      <c r="G45" s="53" t="s">
        <v>279</v>
      </c>
      <c r="H45" s="54" t="s">
        <v>300</v>
      </c>
      <c r="I45" s="59" t="s">
        <v>300</v>
      </c>
      <c r="J45" s="164" t="str">
        <f>HYPERLINK("https://teams.microsoft.com/l/meetup-join/19%3ad8ff77c2e2d5476bbcde9fe502289901%40thread.skype/1584905036156?context=%7b%22Tid%22%3a%2218492cb7-ef45-4561-8571-0c42e5f7ac07%22%2c%22Oid%22%3a%2223887be3-a68f-4f4a-baba-98ea4e2f07bb%22%7d","Join Microsoft Teams Meeting")</f>
        <v>Join Microsoft Teams Meeting</v>
      </c>
      <c r="K45" s="197" t="str">
        <f t="shared" ref="K45:L45" si="3">HYPERLINK("https://d75stem.d75edu.com/","D75 STEM Team")</f>
        <v>D75 STEM Team</v>
      </c>
      <c r="L45" s="200" t="str">
        <f t="shared" si="3"/>
        <v>D75 STEM Team</v>
      </c>
      <c r="M45" s="79" t="s">
        <v>282</v>
      </c>
      <c r="N45" s="211">
        <v>27.0</v>
      </c>
      <c r="O45" s="186" t="s">
        <v>99</v>
      </c>
      <c r="P45" s="64"/>
      <c r="Q45" s="64"/>
      <c r="R45" s="64"/>
    </row>
    <row r="46">
      <c r="A46" s="42"/>
      <c r="B46" s="44"/>
      <c r="C46" s="44"/>
      <c r="D46" s="46"/>
      <c r="E46" s="183" t="s">
        <v>270</v>
      </c>
      <c r="F46" s="189">
        <v>43913.0</v>
      </c>
      <c r="G46" s="53" t="s">
        <v>125</v>
      </c>
      <c r="H46" s="54"/>
      <c r="I46" s="59" t="s">
        <v>105</v>
      </c>
      <c r="J46" s="107" t="s">
        <v>126</v>
      </c>
      <c r="K46" s="81" t="s">
        <v>307</v>
      </c>
      <c r="L46" s="67" t="s">
        <v>308</v>
      </c>
      <c r="M46" s="80" t="str">
        <f>HYPERLINK("https://docs.google.com/document/d/1vDJ1ESBrN-Wea1cAwLeMDmJHHnLvqXSPhjrECrwqxKE/edit?usp=sharing","Google Demo Agenda")</f>
        <v>Google Demo Agenda</v>
      </c>
      <c r="N46" s="188">
        <v>124.0</v>
      </c>
      <c r="O46" s="76" t="s">
        <v>138</v>
      </c>
      <c r="P46" s="64"/>
      <c r="Q46" s="64"/>
      <c r="R46" s="64"/>
    </row>
    <row r="47">
      <c r="A47" s="191">
        <v>43913.0</v>
      </c>
      <c r="B47" s="44" t="s">
        <v>279</v>
      </c>
      <c r="C47" s="44" t="s">
        <v>311</v>
      </c>
      <c r="D47" s="46"/>
      <c r="E47" s="183" t="s">
        <v>270</v>
      </c>
      <c r="F47" s="189">
        <v>43913.0</v>
      </c>
      <c r="G47" s="53" t="s">
        <v>279</v>
      </c>
      <c r="H47" s="54" t="s">
        <v>311</v>
      </c>
      <c r="I47" s="59" t="s">
        <v>311</v>
      </c>
      <c r="J47" s="164" t="str">
        <f t="shared" ref="J47:J48" si="5">HYPERLINK("https://teams.microsoft.com/l/meetup-join/19%3ad8ff77c2e2d5476bbcde9fe502289901%40thread.skype/1584905434771?context=%7b%22Tid%22%3a%2218492cb7-ef45-4561-8571-0c42e5f7ac07%22%2c%22Oid%22%3a%2223887be3-a68f-4f4a-baba-98ea4e2f07bb%22%7d","Join Microsft Team Meeting")</f>
        <v>Join Microsft Team Meeting</v>
      </c>
      <c r="K47" s="197" t="str">
        <f t="shared" ref="K47:L47" si="4">HYPERLINK("https://d75stem.d75edu.com/","D75 STEM Team")</f>
        <v>D75 STEM Team</v>
      </c>
      <c r="L47" s="200" t="str">
        <f t="shared" si="4"/>
        <v>D75 STEM Team</v>
      </c>
      <c r="M47" s="79" t="s">
        <v>282</v>
      </c>
      <c r="N47" s="211">
        <v>23.0</v>
      </c>
      <c r="O47" s="186" t="s">
        <v>99</v>
      </c>
      <c r="P47" s="64"/>
      <c r="Q47" s="64"/>
      <c r="R47" s="64"/>
    </row>
    <row r="48">
      <c r="A48" s="191">
        <v>43913.0</v>
      </c>
      <c r="B48" s="44" t="s">
        <v>279</v>
      </c>
      <c r="C48" s="44" t="s">
        <v>311</v>
      </c>
      <c r="D48" s="46"/>
      <c r="E48" s="183" t="s">
        <v>270</v>
      </c>
      <c r="F48" s="189">
        <v>43913.0</v>
      </c>
      <c r="G48" s="53" t="s">
        <v>314</v>
      </c>
      <c r="H48" s="54" t="s">
        <v>311</v>
      </c>
      <c r="I48" s="59" t="s">
        <v>315</v>
      </c>
      <c r="J48" s="164" t="str">
        <f t="shared" si="5"/>
        <v>Join Microsft Team Meeting</v>
      </c>
      <c r="K48" s="197" t="str">
        <f t="shared" ref="K48:L48" si="6">HYPERLINK("https://d75stem.d75edu.com/","D75 STEM Team")</f>
        <v>D75 STEM Team</v>
      </c>
      <c r="L48" s="200" t="str">
        <f t="shared" si="6"/>
        <v>D75 STEM Team</v>
      </c>
      <c r="M48" s="79" t="s">
        <v>282</v>
      </c>
      <c r="N48" s="211">
        <v>105.0</v>
      </c>
      <c r="O48" s="76" t="s">
        <v>54</v>
      </c>
      <c r="P48" s="64"/>
      <c r="Q48" s="64"/>
      <c r="R48" s="64"/>
    </row>
    <row r="49" ht="18.75" customHeight="1">
      <c r="A49" s="42"/>
      <c r="B49" s="44"/>
      <c r="C49" s="44"/>
      <c r="D49" s="46"/>
      <c r="E49" s="183" t="s">
        <v>270</v>
      </c>
      <c r="F49" s="189">
        <v>43913.0</v>
      </c>
      <c r="G49" s="53" t="s">
        <v>271</v>
      </c>
      <c r="H49" s="54"/>
      <c r="I49" s="59" t="s">
        <v>188</v>
      </c>
      <c r="J49" s="71" t="str">
        <f>HYPERLINK("https://teams.microsoft.com/l/meetup-join/19%3ameeting_YzhkZDFkMjItYjBmMy00ZmUyLWJkZWUtYzE5ZGZlNjk0N2Qw%40thread.v2/0?context=%7b%22Tid%22%3a%2218492cb7-ef45-4561-8571-0c42e5f7ac07%22%2c%22Oid%22%3a%22330b8c37-6819-4c0a-ba6b-72395a392551%22%7d","Join Microsoft Teams Meeting")</f>
        <v>Join Microsoft Teams Meeting</v>
      </c>
      <c r="K49" s="81" t="s">
        <v>52</v>
      </c>
      <c r="L49" s="67" t="s">
        <v>53</v>
      </c>
      <c r="M49" s="80" t="str">
        <f t="shared" ref="M49:M50" si="7">HYPERLINK("https://docs.google.com/document/d/1DeKB6OC4p1cPyan5Yy62oUI1VgjnVNSxAqr95SflCFY/edit?usp=sharing","MSFT Agenda")</f>
        <v>MSFT Agenda</v>
      </c>
      <c r="N49" s="188">
        <v>24.0</v>
      </c>
      <c r="O49" s="76" t="s">
        <v>54</v>
      </c>
      <c r="P49" s="64"/>
      <c r="Q49" s="64"/>
      <c r="R49" s="64"/>
    </row>
    <row r="50">
      <c r="A50" s="42"/>
      <c r="B50" s="44"/>
      <c r="C50" s="44"/>
      <c r="D50" s="46"/>
      <c r="E50" s="183" t="s">
        <v>270</v>
      </c>
      <c r="F50" s="189">
        <v>43913.0</v>
      </c>
      <c r="G50" s="53" t="s">
        <v>161</v>
      </c>
      <c r="H50" s="54"/>
      <c r="I50" s="59" t="s">
        <v>188</v>
      </c>
      <c r="J50" s="71" t="str">
        <f>HYPERLINK("https://teams.microsoft.com/l/meetup-join/19%3ameeting_MTM3ZTM0NWItYzk2NC00ZDE4LWE5MjEtNWEyM2IxNjcwNWI4%40thread.v2/0?context=%7b%22Tid%22%3a%2218492cb7-ef45-4561-8571-0c42e5f7ac07%22%2c%22Oid%22%3a%22330b8c37-6819-4c0a-ba6b-72395a392551%22%7d","Join Microsoft Teams Meeting")</f>
        <v>Join Microsoft Teams Meeting</v>
      </c>
      <c r="K50" s="81" t="s">
        <v>52</v>
      </c>
      <c r="L50" s="67" t="s">
        <v>197</v>
      </c>
      <c r="M50" s="80" t="str">
        <f t="shared" si="7"/>
        <v>MSFT Agenda</v>
      </c>
      <c r="N50" s="188">
        <v>36.0</v>
      </c>
      <c r="O50" s="127" t="s">
        <v>61</v>
      </c>
      <c r="P50" s="64"/>
      <c r="Q50" s="64"/>
      <c r="R50" s="64"/>
    </row>
    <row r="51" ht="29.25" customHeight="1">
      <c r="A51" s="42"/>
      <c r="B51" s="44"/>
      <c r="C51" s="44"/>
      <c r="D51" s="46"/>
      <c r="E51" s="183" t="s">
        <v>270</v>
      </c>
      <c r="F51" s="189">
        <v>43913.0</v>
      </c>
      <c r="G51" s="53" t="s">
        <v>133</v>
      </c>
      <c r="H51" s="152"/>
      <c r="I51" s="44" t="s">
        <v>220</v>
      </c>
      <c r="J51" s="80" t="str">
        <f>HYPERLINK("https://meet.google.com/guc-txrv-fep","Google Classroom Basics 1 p.m.")</f>
        <v>Google Classroom Basics 1 p.m.</v>
      </c>
      <c r="K51" s="81" t="s">
        <v>286</v>
      </c>
      <c r="L51" s="67" t="s">
        <v>316</v>
      </c>
      <c r="M51" s="80" t="str">
        <f>HYPERLINK("https://docs.google.com/document/d/1vDJ1ESBrN-Wea1cAwLeMDmJHHnLvqXSPhjrECrwqxKE/edit?usp=sharing","Google Demo Agenda")</f>
        <v>Google Demo Agenda</v>
      </c>
      <c r="N51" s="188">
        <v>80.0</v>
      </c>
      <c r="O51" s="76" t="s">
        <v>138</v>
      </c>
      <c r="P51" s="64"/>
      <c r="Q51" s="64"/>
      <c r="R51" s="64"/>
    </row>
    <row r="52">
      <c r="A52" s="191"/>
      <c r="B52" s="44"/>
      <c r="C52" s="44"/>
      <c r="D52" s="46"/>
      <c r="E52" s="183" t="s">
        <v>270</v>
      </c>
      <c r="F52" s="189">
        <v>43913.0</v>
      </c>
      <c r="G52" s="250" t="s">
        <v>317</v>
      </c>
      <c r="H52" s="251" t="s">
        <v>182</v>
      </c>
      <c r="I52" s="44" t="s">
        <v>182</v>
      </c>
      <c r="J52" s="252" t="str">
        <f>HYPERLINK("https://us04web.zoom.us/j/287240761","Join Zoom Meeting")</f>
        <v>Join Zoom Meeting</v>
      </c>
      <c r="K52" s="197" t="str">
        <f t="shared" ref="K52:K53" si="8">HYPERLINK("https://d75stem.d75edu.com/","D75 STEM Team")</f>
        <v>D75 STEM Team</v>
      </c>
      <c r="L52" s="256" t="s">
        <v>210</v>
      </c>
      <c r="M52" s="79"/>
      <c r="N52" s="211">
        <v>20.0</v>
      </c>
      <c r="O52" s="257" t="s">
        <v>212</v>
      </c>
      <c r="P52" s="64"/>
      <c r="Q52" s="64"/>
      <c r="R52" s="64"/>
    </row>
    <row r="53">
      <c r="A53" s="191">
        <v>43913.0</v>
      </c>
      <c r="B53" s="44" t="s">
        <v>319</v>
      </c>
      <c r="C53" s="44" t="s">
        <v>320</v>
      </c>
      <c r="D53" s="46"/>
      <c r="E53" s="183" t="s">
        <v>270</v>
      </c>
      <c r="F53" s="189">
        <v>43913.0</v>
      </c>
      <c r="G53" s="53" t="s">
        <v>319</v>
      </c>
      <c r="H53" s="54" t="s">
        <v>320</v>
      </c>
      <c r="I53" s="59" t="s">
        <v>320</v>
      </c>
      <c r="J53" s="252" t="str">
        <f>HYPERLINK(" https://us04web.zoom.us/j/662487347","Join Zoom Meeting")</f>
        <v>Join Zoom Meeting</v>
      </c>
      <c r="K53" s="197" t="str">
        <f t="shared" si="8"/>
        <v>D75 STEM Team</v>
      </c>
      <c r="L53" s="200" t="str">
        <f>HYPERLINK("https://twitter.com/seanmarnold","Sean Arnold")</f>
        <v>Sean Arnold</v>
      </c>
      <c r="M53" s="258" t="str">
        <f>HYPERLINK("https://bit.ly/D75assessment","DC Agenda")</f>
        <v>DC Agenda</v>
      </c>
      <c r="N53" s="211">
        <v>39.0</v>
      </c>
      <c r="O53" s="186" t="s">
        <v>321</v>
      </c>
      <c r="P53" s="64"/>
      <c r="Q53" s="64"/>
      <c r="R53" s="64"/>
    </row>
    <row r="54" ht="19.5" customHeight="1">
      <c r="A54" s="42"/>
      <c r="B54" s="44"/>
      <c r="C54" s="44"/>
      <c r="D54" s="46"/>
      <c r="E54" s="183" t="s">
        <v>270</v>
      </c>
      <c r="F54" s="189">
        <v>43913.0</v>
      </c>
      <c r="G54" s="53" t="s">
        <v>322</v>
      </c>
      <c r="H54" s="54"/>
      <c r="I54" s="59" t="s">
        <v>250</v>
      </c>
      <c r="J54" s="71" t="str">
        <f>HYPERLINK("https://teams.microsoft.com/l/meetup-join/19%3ameeting_YzhkZDFkMjItYjBmMy00ZmUyLWJkZWUtYzE5ZGZlNjk0N2Qw%40thread.v2/0?context=%7b%22Tid%22%3a%2218492cb7-ef45-4561-8571-0c42e5f7ac07%22%2c%22Oid%22%3a%22330b8c37-6819-4c0a-ba6b-72395a392551%22%7d","Join Microsoft Teams Meeting")</f>
        <v>Join Microsoft Teams Meeting</v>
      </c>
      <c r="K54" s="81" t="s">
        <v>272</v>
      </c>
      <c r="L54" s="67" t="s">
        <v>53</v>
      </c>
      <c r="M54" s="80" t="str">
        <f t="shared" ref="M54:M55" si="9">HYPERLINK("https://docs.google.com/document/d/1DeKB6OC4p1cPyan5Yy62oUI1VgjnVNSxAqr95SflCFY/edit?usp=sharing","MSFT Agenda")</f>
        <v>MSFT Agenda</v>
      </c>
      <c r="N54" s="188">
        <v>59.0</v>
      </c>
      <c r="O54" s="76" t="s">
        <v>54</v>
      </c>
      <c r="P54" s="64"/>
      <c r="Q54" s="64"/>
      <c r="R54" s="64"/>
    </row>
    <row r="55">
      <c r="A55" s="42"/>
      <c r="B55" s="44"/>
      <c r="C55" s="44"/>
      <c r="D55" s="46"/>
      <c r="E55" s="183" t="s">
        <v>270</v>
      </c>
      <c r="F55" s="189">
        <v>43913.0</v>
      </c>
      <c r="G55" s="53" t="s">
        <v>161</v>
      </c>
      <c r="H55" s="54"/>
      <c r="I55" s="59" t="s">
        <v>250</v>
      </c>
      <c r="J55" s="71" t="str">
        <f>HYPERLINK("https://teams.microsoft.com/l/meetup-join/19%3ameeting_MTM3ZTM0NWItYzk2NC00ZDE4LWE5MjEtNWEyM2IxNjcwNWI4%40thread.v2/0?context=%7b%22Tid%22%3a%2218492cb7-ef45-4561-8571-0c42e5f7ac07%22%2c%22Oid%22%3a%22330b8c37-6819-4c0a-ba6b-72395a392551%22%7d","Join Microsoft Teams Meeting")</f>
        <v>Join Microsoft Teams Meeting</v>
      </c>
      <c r="K55" s="81" t="s">
        <v>52</v>
      </c>
      <c r="L55" s="67" t="s">
        <v>324</v>
      </c>
      <c r="M55" s="80" t="str">
        <f t="shared" si="9"/>
        <v>MSFT Agenda</v>
      </c>
      <c r="N55" s="188">
        <v>75.0</v>
      </c>
      <c r="O55" s="127" t="s">
        <v>61</v>
      </c>
      <c r="P55" s="64"/>
      <c r="Q55" s="64"/>
      <c r="R55" s="64"/>
    </row>
    <row r="56">
      <c r="A56" s="42"/>
      <c r="B56" s="44"/>
      <c r="C56" s="44"/>
      <c r="D56" s="46"/>
      <c r="E56" s="183" t="s">
        <v>270</v>
      </c>
      <c r="F56" s="189">
        <v>43913.0</v>
      </c>
      <c r="G56" s="53" t="s">
        <v>125</v>
      </c>
      <c r="H56" s="54"/>
      <c r="I56" s="59" t="s">
        <v>68</v>
      </c>
      <c r="J56" s="164" t="str">
        <f>HYPERLINK("https://meet.google.com/oeg-ifjx-poc","Join Google Meet")</f>
        <v>Join Google Meet</v>
      </c>
      <c r="K56" s="81" t="s">
        <v>137</v>
      </c>
      <c r="L56" s="259" t="s">
        <v>325</v>
      </c>
      <c r="M56" s="80" t="str">
        <f t="shared" ref="M56:M57" si="10">HYPERLINK("https://docs.google.com/document/d/1vDJ1ESBrN-Wea1cAwLeMDmJHHnLvqXSPhjrECrwqxKE/edit?usp=sharing","Google Demo Agenda")</f>
        <v>Google Demo Agenda</v>
      </c>
      <c r="N56" s="188">
        <v>78.0</v>
      </c>
      <c r="O56" s="76" t="s">
        <v>138</v>
      </c>
      <c r="P56" s="64"/>
      <c r="Q56" s="64"/>
      <c r="R56" s="64"/>
    </row>
    <row r="57">
      <c r="A57" s="42"/>
      <c r="B57" s="44"/>
      <c r="C57" s="44"/>
      <c r="D57" s="46"/>
      <c r="E57" s="183" t="s">
        <v>270</v>
      </c>
      <c r="F57" s="189">
        <v>43913.0</v>
      </c>
      <c r="G57" s="53" t="s">
        <v>255</v>
      </c>
      <c r="H57" s="54"/>
      <c r="I57" s="59" t="s">
        <v>256</v>
      </c>
      <c r="J57" s="107" t="s">
        <v>126</v>
      </c>
      <c r="K57" s="260" t="s">
        <v>326</v>
      </c>
      <c r="L57" s="53" t="s">
        <v>287</v>
      </c>
      <c r="M57" s="80" t="str">
        <f t="shared" si="10"/>
        <v>Google Demo Agenda</v>
      </c>
      <c r="N57" s="188">
        <v>48.0</v>
      </c>
      <c r="O57" s="127"/>
      <c r="P57" s="64"/>
      <c r="Q57" s="64"/>
      <c r="R57" s="64"/>
    </row>
    <row r="58">
      <c r="A58" s="93"/>
      <c r="B58" s="44"/>
      <c r="C58" s="44"/>
      <c r="D58" s="46"/>
      <c r="E58" s="183" t="s">
        <v>270</v>
      </c>
      <c r="F58" s="189">
        <v>43913.0</v>
      </c>
      <c r="G58" s="53" t="s">
        <v>327</v>
      </c>
      <c r="H58" s="54"/>
      <c r="I58" s="57" t="s">
        <v>328</v>
      </c>
      <c r="J58" s="162" t="s">
        <v>329</v>
      </c>
      <c r="K58" s="262"/>
      <c r="L58" s="53" t="s">
        <v>291</v>
      </c>
      <c r="M58" s="54"/>
      <c r="N58" s="263"/>
      <c r="O58" s="186" t="s">
        <v>330</v>
      </c>
      <c r="P58" s="64"/>
      <c r="Q58" s="64"/>
      <c r="R58" s="64"/>
    </row>
    <row r="59">
      <c r="A59" s="23"/>
      <c r="B59" s="25"/>
      <c r="C59" s="25"/>
      <c r="D59" s="27"/>
      <c r="E59" s="174"/>
      <c r="F59" s="174"/>
      <c r="G59" s="30"/>
      <c r="H59" s="31"/>
      <c r="I59" s="32"/>
      <c r="J59" s="175"/>
      <c r="K59" s="176"/>
      <c r="L59" s="30"/>
      <c r="M59" s="38" t="s">
        <v>331</v>
      </c>
      <c r="N59" s="179">
        <f>sum(N60:N76)</f>
        <v>1707</v>
      </c>
      <c r="O59" s="181"/>
      <c r="P59" s="40"/>
      <c r="Q59" s="40"/>
      <c r="R59" s="40"/>
    </row>
    <row r="60" ht="24.75" customHeight="1">
      <c r="A60" s="42"/>
      <c r="B60" s="44"/>
      <c r="C60" s="44"/>
      <c r="D60" s="46"/>
      <c r="E60" s="64" t="s">
        <v>332</v>
      </c>
      <c r="F60" s="189">
        <v>43914.0</v>
      </c>
      <c r="G60" s="53" t="s">
        <v>333</v>
      </c>
      <c r="H60" s="54"/>
      <c r="I60" s="59" t="s">
        <v>43</v>
      </c>
      <c r="J60" s="266" t="str">
        <f>HYPERLINK("https://teams.microsoft.com/l/meetup-join/19%3ameeting_YzhkZDFkMjItYjBmMy00ZmUyLWJkZWUtYzE5ZGZlNjk0N2Qw%40thread.v2/0?context=%7b%22Tid%22%3a%2218492cb7-ef45-4561-8571-0c42e5f7ac07%22%2c%22Oid%22%3a%22330b8c37-6819-4c0a-ba6b-72395a392551%22%7d","Join Microsoft Teams Meeting")</f>
        <v>Join Microsoft Teams Meeting</v>
      </c>
      <c r="K60" s="81" t="s">
        <v>272</v>
      </c>
      <c r="L60" s="67" t="s">
        <v>334</v>
      </c>
      <c r="M60" s="80" t="str">
        <f t="shared" ref="M60:M61" si="11">HYPERLINK("https://docs.google.com/document/d/1DeKB6OC4p1cPyan5Yy62oUI1VgjnVNSxAqr95SflCFY/edit?usp=sharing","MSFT Agenda")</f>
        <v>MSFT Agenda</v>
      </c>
      <c r="N60" s="188">
        <v>118.0</v>
      </c>
      <c r="O60" s="76" t="s">
        <v>54</v>
      </c>
      <c r="P60" s="64"/>
      <c r="Q60" s="64"/>
      <c r="R60" s="64"/>
    </row>
    <row r="61">
      <c r="A61" s="42"/>
      <c r="B61" s="44"/>
      <c r="C61" s="44"/>
      <c r="D61" s="46"/>
      <c r="E61" s="64" t="s">
        <v>332</v>
      </c>
      <c r="F61" s="267">
        <v>43914.0</v>
      </c>
      <c r="G61" s="53" t="s">
        <v>161</v>
      </c>
      <c r="H61" s="54"/>
      <c r="I61" s="59" t="s">
        <v>43</v>
      </c>
      <c r="J61" s="71" t="str">
        <f>HYPERLINK("https://teams.microsoft.com/l/meetup-join/19%3ameeting_MTM3ZTM0NWItYzk2NC00ZDE4LWE5MjEtNWEyM2IxNjcwNWI4%40thread.v2/0?context=%7b%22Tid%22%3a%2218492cb7-ef45-4561-8571-0c42e5f7ac07%22%2c%22Oid%22%3a%22330b8c37-6819-4c0a-ba6b-72395a392551%22%7d","Join Microsoft Teams Meeting")</f>
        <v>Join Microsoft Teams Meeting</v>
      </c>
      <c r="K61" s="81" t="s">
        <v>52</v>
      </c>
      <c r="L61" s="67" t="s">
        <v>335</v>
      </c>
      <c r="M61" s="80" t="str">
        <f t="shared" si="11"/>
        <v>MSFT Agenda</v>
      </c>
      <c r="N61" s="188">
        <v>43.0</v>
      </c>
      <c r="O61" s="127" t="s">
        <v>61</v>
      </c>
      <c r="P61" s="64"/>
      <c r="Q61" s="64"/>
      <c r="R61" s="64"/>
    </row>
    <row r="62">
      <c r="A62" s="42"/>
      <c r="B62" s="44"/>
      <c r="C62" s="44"/>
      <c r="D62" s="46"/>
      <c r="E62" s="64" t="s">
        <v>332</v>
      </c>
      <c r="F62" s="267">
        <v>43914.0</v>
      </c>
      <c r="G62" s="53" t="s">
        <v>279</v>
      </c>
      <c r="H62" s="54" t="s">
        <v>66</v>
      </c>
      <c r="I62" s="59" t="s">
        <v>66</v>
      </c>
      <c r="J62" s="79" t="s">
        <v>69</v>
      </c>
      <c r="K62" s="83" t="s">
        <v>80</v>
      </c>
      <c r="L62" s="89" t="s">
        <v>80</v>
      </c>
      <c r="M62" s="270" t="s">
        <v>282</v>
      </c>
      <c r="N62" s="271">
        <v>57.0</v>
      </c>
      <c r="O62" s="127" t="s">
        <v>99</v>
      </c>
      <c r="P62" s="64"/>
      <c r="Q62" s="64"/>
      <c r="R62" s="64"/>
    </row>
    <row r="63">
      <c r="A63" s="42"/>
      <c r="B63" s="44"/>
      <c r="C63" s="44"/>
      <c r="D63" s="46"/>
      <c r="E63" s="64" t="s">
        <v>332</v>
      </c>
      <c r="F63" s="267">
        <v>43914.0</v>
      </c>
      <c r="G63" s="53" t="s">
        <v>336</v>
      </c>
      <c r="H63" s="54" t="s">
        <v>149</v>
      </c>
      <c r="I63" s="59" t="s">
        <v>149</v>
      </c>
      <c r="J63" s="79" t="s">
        <v>216</v>
      </c>
      <c r="K63" s="83" t="s">
        <v>80</v>
      </c>
      <c r="L63" s="89" t="s">
        <v>71</v>
      </c>
      <c r="M63" s="272" t="s">
        <v>338</v>
      </c>
      <c r="N63" s="273">
        <v>189.0</v>
      </c>
      <c r="O63" s="127" t="s">
        <v>339</v>
      </c>
      <c r="P63" s="64"/>
      <c r="Q63" s="64"/>
      <c r="R63" s="64"/>
    </row>
    <row r="64">
      <c r="A64" s="42"/>
      <c r="B64" s="44"/>
      <c r="C64" s="44"/>
      <c r="D64" s="46"/>
      <c r="E64" s="64" t="s">
        <v>332</v>
      </c>
      <c r="F64" s="267">
        <v>43914.0</v>
      </c>
      <c r="G64" s="53" t="s">
        <v>125</v>
      </c>
      <c r="H64" s="54"/>
      <c r="I64" s="59" t="s">
        <v>45</v>
      </c>
      <c r="J64" s="107" t="s">
        <v>126</v>
      </c>
      <c r="K64" s="260" t="s">
        <v>340</v>
      </c>
      <c r="L64" s="53" t="s">
        <v>341</v>
      </c>
      <c r="M64" s="80" t="str">
        <f>HYPERLINK("https://docs.google.com/document/d/1vDJ1ESBrN-Wea1cAwLeMDmJHHnLvqXSPhjrECrwqxKE/edit?usp=sharing","Google Demo Agenda")</f>
        <v>Google Demo Agenda</v>
      </c>
      <c r="N64" s="68">
        <v>191.0</v>
      </c>
      <c r="O64" s="127"/>
      <c r="P64" s="64"/>
      <c r="Q64" s="64"/>
      <c r="R64" s="64"/>
    </row>
    <row r="65">
      <c r="A65" s="42"/>
      <c r="B65" s="44"/>
      <c r="C65" s="44"/>
      <c r="D65" s="46"/>
      <c r="E65" s="64" t="s">
        <v>332</v>
      </c>
      <c r="F65" s="267">
        <v>43914.0</v>
      </c>
      <c r="G65" s="53" t="s">
        <v>345</v>
      </c>
      <c r="H65" s="54"/>
      <c r="I65" s="59" t="s">
        <v>346</v>
      </c>
      <c r="J65" s="277"/>
      <c r="K65" s="83"/>
      <c r="L65" s="256"/>
      <c r="M65" s="80"/>
      <c r="N65" s="68"/>
      <c r="O65" s="278"/>
      <c r="P65" s="64"/>
      <c r="Q65" s="64"/>
      <c r="R65" s="64"/>
    </row>
    <row r="66">
      <c r="A66" s="42"/>
      <c r="B66" s="44"/>
      <c r="C66" s="44"/>
      <c r="D66" s="46"/>
      <c r="E66" s="64" t="s">
        <v>332</v>
      </c>
      <c r="F66" s="267">
        <v>43914.0</v>
      </c>
      <c r="G66" s="53" t="s">
        <v>348</v>
      </c>
      <c r="H66" s="54"/>
      <c r="I66" s="59" t="s">
        <v>349</v>
      </c>
      <c r="J66" s="288" t="s">
        <v>350</v>
      </c>
      <c r="K66" s="159" t="s">
        <v>272</v>
      </c>
      <c r="L66" s="53" t="s">
        <v>53</v>
      </c>
      <c r="M66" s="289"/>
      <c r="N66" s="68">
        <v>130.0</v>
      </c>
      <c r="O66" s="127"/>
      <c r="P66" s="64"/>
      <c r="Q66" s="64"/>
      <c r="R66" s="64"/>
    </row>
    <row r="67">
      <c r="A67" s="42"/>
      <c r="B67" s="44"/>
      <c r="C67" s="44"/>
      <c r="D67" s="46"/>
      <c r="E67" s="64" t="s">
        <v>332</v>
      </c>
      <c r="F67" s="267">
        <v>43914.0</v>
      </c>
      <c r="G67" s="53" t="s">
        <v>348</v>
      </c>
      <c r="H67" s="54"/>
      <c r="I67" s="59" t="s">
        <v>357</v>
      </c>
      <c r="J67" s="288" t="s">
        <v>350</v>
      </c>
      <c r="K67" s="159" t="s">
        <v>272</v>
      </c>
      <c r="L67" s="53" t="s">
        <v>53</v>
      </c>
      <c r="M67" s="289"/>
      <c r="N67" s="68">
        <v>250.0</v>
      </c>
      <c r="O67" s="127"/>
      <c r="P67" s="64"/>
      <c r="Q67" s="64"/>
      <c r="R67" s="64"/>
    </row>
    <row r="68">
      <c r="A68" s="42"/>
      <c r="B68" s="44"/>
      <c r="C68" s="44"/>
      <c r="D68" s="46"/>
      <c r="E68" s="64" t="s">
        <v>332</v>
      </c>
      <c r="F68" s="267">
        <v>43914.0</v>
      </c>
      <c r="G68" s="53" t="s">
        <v>125</v>
      </c>
      <c r="H68" s="54"/>
      <c r="I68" s="59" t="s">
        <v>105</v>
      </c>
      <c r="J68" s="107" t="s">
        <v>126</v>
      </c>
      <c r="K68" s="159" t="s">
        <v>363</v>
      </c>
      <c r="L68" s="53" t="s">
        <v>364</v>
      </c>
      <c r="M68" s="80" t="str">
        <f>HYPERLINK("https://docs.google.com/document/d/1vDJ1ESBrN-Wea1cAwLeMDmJHHnLvqXSPhjrECrwqxKE/edit?usp=sharing","Google Demo Agenda")</f>
        <v>Google Demo Agenda</v>
      </c>
      <c r="N68" s="68">
        <v>202.0</v>
      </c>
      <c r="O68" s="127"/>
      <c r="P68" s="64"/>
      <c r="Q68" s="64"/>
      <c r="R68" s="64"/>
    </row>
    <row r="69" ht="44.25" customHeight="1">
      <c r="A69" s="42"/>
      <c r="B69" s="44"/>
      <c r="C69" s="44"/>
      <c r="D69" s="46"/>
      <c r="E69" s="64" t="s">
        <v>332</v>
      </c>
      <c r="F69" s="267">
        <v>43914.0</v>
      </c>
      <c r="G69" s="53" t="s">
        <v>333</v>
      </c>
      <c r="H69" s="54"/>
      <c r="I69" s="57" t="s">
        <v>188</v>
      </c>
      <c r="J69" s="266" t="str">
        <f>HYPERLINK("https://teams.microsoft.com/l/meetup-join/19%3ameeting_YzhkZDFkMjItYjBmMy00ZmUyLWJkZWUtYzE5ZGZlNjk0N2Qw%40thread.v2/0?context=%7b%22Tid%22%3a%2218492cb7-ef45-4561-8571-0c42e5f7ac07%22%2c%22Oid%22%3a%22330b8c37-6819-4c0a-ba6b-72395a392551%22%7d","Join Microsoft Teams Meeting")</f>
        <v>Join Microsoft Teams Meeting</v>
      </c>
      <c r="K69" s="81" t="s">
        <v>52</v>
      </c>
      <c r="L69" s="297" t="s">
        <v>369</v>
      </c>
      <c r="M69" s="80" t="str">
        <f t="shared" ref="M69:M70" si="12">HYPERLINK("https://docs.google.com/document/d/1DeKB6OC4p1cPyan5Yy62oUI1VgjnVNSxAqr95SflCFY/edit?usp=sharing","MSFT Agenda")</f>
        <v>MSFT Agenda</v>
      </c>
      <c r="N69" s="68">
        <v>33.0</v>
      </c>
      <c r="O69" s="76" t="s">
        <v>54</v>
      </c>
      <c r="P69" s="64"/>
      <c r="Q69" s="64"/>
      <c r="R69" s="64"/>
    </row>
    <row r="70">
      <c r="A70" s="42"/>
      <c r="B70" s="44"/>
      <c r="C70" s="44"/>
      <c r="D70" s="46"/>
      <c r="E70" s="64" t="s">
        <v>332</v>
      </c>
      <c r="F70" s="267">
        <v>43914.0</v>
      </c>
      <c r="G70" s="53" t="s">
        <v>161</v>
      </c>
      <c r="H70" s="54"/>
      <c r="I70" s="57" t="s">
        <v>188</v>
      </c>
      <c r="J70" s="71" t="str">
        <f>HYPERLINK("https://teams.microsoft.com/l/meetup-join/19%3ameeting_MTM3ZTM0NWItYzk2NC00ZDE4LWE5MjEtNWEyM2IxNjcwNWI4%40thread.v2/0?context=%7b%22Tid%22%3a%2218492cb7-ef45-4561-8571-0c42e5f7ac07%22%2c%22Oid%22%3a%22330b8c37-6819-4c0a-ba6b-72395a392551%22%7d","Join Microsoft Teams Meeting")</f>
        <v>Join Microsoft Teams Meeting</v>
      </c>
      <c r="K70" s="81" t="s">
        <v>52</v>
      </c>
      <c r="L70" s="67" t="s">
        <v>53</v>
      </c>
      <c r="M70" s="80" t="str">
        <f t="shared" si="12"/>
        <v>MSFT Agenda</v>
      </c>
      <c r="N70" s="68">
        <v>28.0</v>
      </c>
      <c r="O70" s="127" t="s">
        <v>61</v>
      </c>
      <c r="P70" s="64"/>
      <c r="Q70" s="64"/>
      <c r="R70" s="64"/>
    </row>
    <row r="71">
      <c r="A71" s="42"/>
      <c r="B71" s="44"/>
      <c r="C71" s="44"/>
      <c r="D71" s="46"/>
      <c r="E71" s="64" t="s">
        <v>332</v>
      </c>
      <c r="F71" s="267">
        <v>43914.0</v>
      </c>
      <c r="G71" s="298" t="s">
        <v>317</v>
      </c>
      <c r="H71" s="54"/>
      <c r="I71" s="299" t="s">
        <v>182</v>
      </c>
      <c r="J71" s="79" t="s">
        <v>216</v>
      </c>
      <c r="K71" s="133" t="s">
        <v>210</v>
      </c>
      <c r="L71" s="133" t="s">
        <v>372</v>
      </c>
      <c r="M71" s="283"/>
      <c r="N71" s="68">
        <v>27.0</v>
      </c>
      <c r="O71" s="127"/>
      <c r="P71" s="64"/>
      <c r="Q71" s="64"/>
      <c r="R71" s="64"/>
    </row>
    <row r="72">
      <c r="A72" s="42"/>
      <c r="B72" s="44"/>
      <c r="C72" s="44"/>
      <c r="D72" s="46"/>
      <c r="E72" s="64" t="s">
        <v>332</v>
      </c>
      <c r="F72" s="267">
        <v>43914.0</v>
      </c>
      <c r="G72" s="53" t="s">
        <v>373</v>
      </c>
      <c r="H72" s="54" t="s">
        <v>214</v>
      </c>
      <c r="I72" s="57" t="s">
        <v>374</v>
      </c>
      <c r="J72" s="79" t="s">
        <v>216</v>
      </c>
      <c r="K72" s="83" t="s">
        <v>80</v>
      </c>
      <c r="L72" s="89" t="s">
        <v>71</v>
      </c>
      <c r="M72" s="54"/>
      <c r="N72" s="68">
        <v>104.0</v>
      </c>
      <c r="O72" s="127" t="s">
        <v>378</v>
      </c>
      <c r="P72" s="64"/>
      <c r="Q72" s="64"/>
      <c r="R72" s="64"/>
    </row>
    <row r="73" ht="19.5" customHeight="1">
      <c r="A73" s="42"/>
      <c r="B73" s="44"/>
      <c r="C73" s="44"/>
      <c r="D73" s="46"/>
      <c r="E73" s="64" t="s">
        <v>332</v>
      </c>
      <c r="F73" s="267">
        <v>43914.0</v>
      </c>
      <c r="G73" s="53" t="s">
        <v>333</v>
      </c>
      <c r="H73" s="54"/>
      <c r="I73" s="57" t="s">
        <v>250</v>
      </c>
      <c r="J73" s="266" t="str">
        <f>HYPERLINK("https://teams.microsoft.com/l/meetup-join/19%3ameeting_YzhkZDFkMjItYjBmMy00ZmUyLWJkZWUtYzE5ZGZlNjk0N2Qw%40thread.v2/0?context=%7b%22Tid%22%3a%2218492cb7-ef45-4561-8571-0c42e5f7ac07%22%2c%22Oid%22%3a%22330b8c37-6819-4c0a-ba6b-72395a392551%22%7d","Join Microsoft Teams Meeting")</f>
        <v>Join Microsoft Teams Meeting</v>
      </c>
      <c r="K73" s="81" t="s">
        <v>52</v>
      </c>
      <c r="L73" s="67" t="s">
        <v>379</v>
      </c>
      <c r="M73" s="80" t="str">
        <f t="shared" ref="M73:M74" si="13">HYPERLINK("https://docs.google.com/document/d/1DeKB6OC4p1cPyan5Yy62oUI1VgjnVNSxAqr95SflCFY/edit?usp=sharing","MSFT Agenda")</f>
        <v>MSFT Agenda</v>
      </c>
      <c r="N73" s="68">
        <v>25.0</v>
      </c>
      <c r="O73" s="76" t="s">
        <v>54</v>
      </c>
      <c r="P73" s="64"/>
      <c r="Q73" s="64"/>
      <c r="R73" s="64"/>
    </row>
    <row r="74">
      <c r="A74" s="42"/>
      <c r="B74" s="44"/>
      <c r="C74" s="44"/>
      <c r="D74" s="46"/>
      <c r="E74" s="64" t="s">
        <v>332</v>
      </c>
      <c r="F74" s="267">
        <v>43914.0</v>
      </c>
      <c r="G74" s="53" t="s">
        <v>161</v>
      </c>
      <c r="H74" s="54"/>
      <c r="I74" s="57" t="s">
        <v>250</v>
      </c>
      <c r="J74" s="71" t="str">
        <f>HYPERLINK("https://teams.microsoft.com/l/meetup-join/19%3ameeting_MTM3ZTM0NWItYzk2NC00ZDE4LWE5MjEtNWEyM2IxNjcwNWI4%40thread.v2/0?context=%7b%22Tid%22%3a%2218492cb7-ef45-4561-8571-0c42e5f7ac07%22%2c%22Oid%22%3a%22330b8c37-6819-4c0a-ba6b-72395a392551%22%7d","Join Microsoft Teams Meeting")</f>
        <v>Join Microsoft Teams Meeting</v>
      </c>
      <c r="K74" s="81" t="s">
        <v>52</v>
      </c>
      <c r="L74" s="67" t="s">
        <v>383</v>
      </c>
      <c r="M74" s="80" t="str">
        <f t="shared" si="13"/>
        <v>MSFT Agenda</v>
      </c>
      <c r="N74" s="68">
        <v>28.0</v>
      </c>
      <c r="O74" s="127" t="s">
        <v>61</v>
      </c>
      <c r="P74" s="64"/>
      <c r="Q74" s="64"/>
      <c r="R74" s="64"/>
    </row>
    <row r="75">
      <c r="A75" s="42"/>
      <c r="B75" s="44"/>
      <c r="C75" s="44"/>
      <c r="D75" s="46"/>
      <c r="E75" s="64" t="s">
        <v>332</v>
      </c>
      <c r="F75" s="267">
        <v>43914.0</v>
      </c>
      <c r="G75" s="53" t="s">
        <v>125</v>
      </c>
      <c r="H75" s="54"/>
      <c r="I75" s="57" t="s">
        <v>68</v>
      </c>
      <c r="J75" s="162" t="s">
        <v>126</v>
      </c>
      <c r="K75" s="260" t="s">
        <v>384</v>
      </c>
      <c r="L75" s="53" t="s">
        <v>385</v>
      </c>
      <c r="M75" s="80" t="str">
        <f t="shared" ref="M75:M76" si="14">HYPERLINK("https://docs.google.com/document/d/1vDJ1ESBrN-Wea1cAwLeMDmJHHnLvqXSPhjrECrwqxKE/edit?usp=sharing","Google Demo Agenda")</f>
        <v>Google Demo Agenda</v>
      </c>
      <c r="N75" s="68">
        <v>149.0</v>
      </c>
      <c r="O75" s="127"/>
      <c r="P75" s="64"/>
      <c r="Q75" s="64"/>
      <c r="R75" s="64"/>
    </row>
    <row r="76">
      <c r="A76" s="42"/>
      <c r="B76" s="44"/>
      <c r="C76" s="44"/>
      <c r="D76" s="46"/>
      <c r="E76" s="64" t="s">
        <v>332</v>
      </c>
      <c r="F76" s="267">
        <v>43914.0</v>
      </c>
      <c r="G76" s="53" t="s">
        <v>255</v>
      </c>
      <c r="H76" s="54"/>
      <c r="I76" s="59" t="s">
        <v>256</v>
      </c>
      <c r="J76" s="107" t="s">
        <v>126</v>
      </c>
      <c r="K76" s="159" t="s">
        <v>390</v>
      </c>
      <c r="L76" s="72" t="s">
        <v>385</v>
      </c>
      <c r="M76" s="80" t="str">
        <f t="shared" si="14"/>
        <v>Google Demo Agenda</v>
      </c>
      <c r="N76" s="68">
        <v>133.0</v>
      </c>
      <c r="O76" s="127"/>
      <c r="P76" s="64"/>
      <c r="Q76" s="64"/>
      <c r="R76" s="64"/>
    </row>
    <row r="77">
      <c r="A77" s="23"/>
      <c r="B77" s="25"/>
      <c r="C77" s="25"/>
      <c r="D77" s="27"/>
      <c r="E77" s="304"/>
      <c r="F77" s="29"/>
      <c r="G77" s="30"/>
      <c r="H77" s="31"/>
      <c r="I77" s="32"/>
      <c r="J77" s="305"/>
      <c r="K77" s="25"/>
      <c r="L77" s="34"/>
      <c r="M77" s="38" t="s">
        <v>391</v>
      </c>
      <c r="N77" s="38">
        <f>sum(N78:N98)</f>
        <v>1655</v>
      </c>
      <c r="O77" s="306"/>
      <c r="P77" s="25"/>
      <c r="Q77" s="40"/>
      <c r="R77" s="40"/>
    </row>
    <row r="78">
      <c r="A78" s="42"/>
      <c r="B78" s="44"/>
      <c r="C78" s="44"/>
      <c r="D78" s="46"/>
      <c r="E78" s="47" t="s">
        <v>342</v>
      </c>
      <c r="F78" s="50">
        <v>43915.0</v>
      </c>
      <c r="G78" s="53" t="s">
        <v>392</v>
      </c>
      <c r="H78" s="54"/>
      <c r="I78" s="59" t="s">
        <v>43</v>
      </c>
      <c r="J78" s="266" t="str">
        <f>HYPERLINK("https://teams.microsoft.com/l/meetup-join/19%3ameeting_YzhkZDFkMjItYjBmMy00ZmUyLWJkZWUtYzE5ZGZlNjk0N2Qw%40thread.v2/0?context=%7b%22Tid%22%3a%2218492cb7-ef45-4561-8571-0c42e5f7ac07%22%2c%22Oid%22%3a%22330b8c37-6819-4c0a-ba6b-72395a392551%22%7d","Join Microsoft Teams Meeting")</f>
        <v>Join Microsoft Teams Meeting</v>
      </c>
      <c r="K78" s="44" t="s">
        <v>52</v>
      </c>
      <c r="L78" s="67" t="s">
        <v>393</v>
      </c>
      <c r="M78" s="54"/>
      <c r="N78" s="68">
        <v>49.0</v>
      </c>
      <c r="O78" s="76" t="s">
        <v>54</v>
      </c>
      <c r="P78" s="44"/>
      <c r="Q78" s="64"/>
      <c r="R78" s="64"/>
    </row>
    <row r="79">
      <c r="A79" s="42"/>
      <c r="B79" s="44"/>
      <c r="C79" s="44"/>
      <c r="D79" s="46"/>
      <c r="E79" s="47" t="s">
        <v>342</v>
      </c>
      <c r="F79" s="50">
        <v>43915.0</v>
      </c>
      <c r="G79" s="53" t="s">
        <v>394</v>
      </c>
      <c r="H79" s="54"/>
      <c r="I79" s="59" t="s">
        <v>43</v>
      </c>
      <c r="J79" s="71" t="str">
        <f>HYPERLINK("https://teams.microsoft.com/l/meetup-join/19%3ameeting_MTM3ZTM0NWItYzk2NC00ZDE4LWE5MjEtNWEyM2IxNjcwNWI4%40thread.v2/0?context=%7b%22Tid%22%3a%2218492cb7-ef45-4561-8571-0c42e5f7ac07%22%2c%22Oid%22%3a%22330b8c37-6819-4c0a-ba6b-72395a392551%22%7d","Join Microsoft Teams Meeting")</f>
        <v>Join Microsoft Teams Meeting</v>
      </c>
      <c r="K79" s="44" t="s">
        <v>52</v>
      </c>
      <c r="L79" s="67" t="s">
        <v>383</v>
      </c>
      <c r="M79" s="54"/>
      <c r="N79" s="68">
        <v>26.0</v>
      </c>
      <c r="O79" s="127" t="s">
        <v>61</v>
      </c>
      <c r="P79" s="44"/>
      <c r="Q79" s="64" t="s">
        <v>55</v>
      </c>
      <c r="R79" s="64"/>
    </row>
    <row r="80" ht="19.5" customHeight="1">
      <c r="A80" s="73"/>
      <c r="B80" s="74"/>
      <c r="C80" s="74"/>
      <c r="D80" s="74"/>
      <c r="E80" s="47" t="s">
        <v>342</v>
      </c>
      <c r="F80" s="50">
        <v>43915.0</v>
      </c>
      <c r="G80" s="43" t="s">
        <v>65</v>
      </c>
      <c r="H80" s="75" t="s">
        <v>66</v>
      </c>
      <c r="I80" s="59" t="s">
        <v>66</v>
      </c>
      <c r="J80" s="79" t="s">
        <v>69</v>
      </c>
      <c r="K80" s="83" t="s">
        <v>80</v>
      </c>
      <c r="L80" s="89" t="s">
        <v>80</v>
      </c>
      <c r="M80" s="90" t="str">
        <f>HYPERLINK("https://d75stem.d75edu.com/","STEM Site")</f>
        <v>STEM Site</v>
      </c>
      <c r="N80" s="307">
        <v>43.0</v>
      </c>
      <c r="O80" s="308" t="s">
        <v>99</v>
      </c>
      <c r="P80" s="74"/>
      <c r="Q80" s="75" t="s">
        <v>100</v>
      </c>
      <c r="R80" s="74"/>
    </row>
    <row r="81">
      <c r="A81" s="73"/>
      <c r="B81" s="74"/>
      <c r="C81" s="74"/>
      <c r="D81" s="74"/>
      <c r="E81" s="47" t="s">
        <v>342</v>
      </c>
      <c r="F81" s="50">
        <v>43915.0</v>
      </c>
      <c r="G81" s="43" t="s">
        <v>396</v>
      </c>
      <c r="H81" s="75" t="s">
        <v>149</v>
      </c>
      <c r="I81" s="59" t="s">
        <v>149</v>
      </c>
      <c r="J81" s="79" t="s">
        <v>216</v>
      </c>
      <c r="K81" s="83" t="s">
        <v>80</v>
      </c>
      <c r="L81" s="89" t="s">
        <v>71</v>
      </c>
      <c r="M81" s="156" t="str">
        <f>HYPERLINK("https://docs.google.com/document/d/1XYR8eKiT03b8eQBlP5X5nkHjfAbxjaYqERzKwJuwF1w/edit?usp=sharing","Agenda")</f>
        <v>Agenda</v>
      </c>
      <c r="N81" s="112">
        <v>161.0</v>
      </c>
      <c r="O81" s="308" t="s">
        <v>403</v>
      </c>
      <c r="P81" s="74"/>
      <c r="Q81" s="75" t="s">
        <v>404</v>
      </c>
      <c r="R81" s="74"/>
    </row>
    <row r="82">
      <c r="A82" s="73"/>
      <c r="B82" s="74"/>
      <c r="C82" s="74"/>
      <c r="D82" s="74"/>
      <c r="E82" s="47" t="s">
        <v>342</v>
      </c>
      <c r="F82" s="50">
        <v>43915.0</v>
      </c>
      <c r="G82" s="102" t="s">
        <v>125</v>
      </c>
      <c r="H82" s="74"/>
      <c r="I82" s="103" t="s">
        <v>45</v>
      </c>
      <c r="J82" s="107" t="s">
        <v>126</v>
      </c>
      <c r="K82" s="109" t="s">
        <v>247</v>
      </c>
      <c r="L82" s="72" t="s">
        <v>407</v>
      </c>
      <c r="M82" s="80" t="str">
        <f>HYPERLINK("https://docs.google.com/document/d/1vDJ1ESBrN-Wea1cAwLeMDmJHHnLvqXSPhjrECrwqxKE/edit?usp=sharing","Google Demo Agenda")</f>
        <v>Google Demo Agenda</v>
      </c>
      <c r="N82" s="112">
        <v>140.0</v>
      </c>
      <c r="O82" s="320"/>
      <c r="P82" s="74"/>
      <c r="Q82" s="75" t="s">
        <v>125</v>
      </c>
      <c r="R82" s="74"/>
    </row>
    <row r="83">
      <c r="A83" s="42"/>
      <c r="B83" s="44"/>
      <c r="C83" s="44"/>
      <c r="D83" s="46"/>
      <c r="E83" s="47" t="s">
        <v>342</v>
      </c>
      <c r="F83" s="50">
        <v>43915.0</v>
      </c>
      <c r="G83" s="43" t="s">
        <v>411</v>
      </c>
      <c r="H83" s="74"/>
      <c r="I83" s="59" t="s">
        <v>412</v>
      </c>
      <c r="J83" s="107" t="s">
        <v>413</v>
      </c>
      <c r="K83" s="109" t="s">
        <v>52</v>
      </c>
      <c r="L83" s="72" t="s">
        <v>413</v>
      </c>
      <c r="M83" s="322"/>
      <c r="N83" s="112">
        <v>66.0</v>
      </c>
      <c r="O83" s="323"/>
      <c r="P83" s="325"/>
      <c r="Q83" s="316"/>
      <c r="R83" s="64"/>
    </row>
    <row r="84">
      <c r="A84" s="42"/>
      <c r="B84" s="44"/>
      <c r="C84" s="44"/>
      <c r="D84" s="46"/>
      <c r="E84" s="47" t="s">
        <v>342</v>
      </c>
      <c r="F84" s="50">
        <v>43915.0</v>
      </c>
      <c r="G84" s="240" t="s">
        <v>416</v>
      </c>
      <c r="H84" s="54"/>
      <c r="I84" s="326" t="s">
        <v>418</v>
      </c>
      <c r="J84" s="239" t="s">
        <v>69</v>
      </c>
      <c r="K84" s="240" t="s">
        <v>429</v>
      </c>
      <c r="L84" s="334" t="s">
        <v>429</v>
      </c>
      <c r="M84" s="322"/>
      <c r="N84" s="112">
        <v>36.0</v>
      </c>
      <c r="O84" s="323" t="s">
        <v>441</v>
      </c>
      <c r="P84" s="325"/>
      <c r="Q84" s="316" t="s">
        <v>416</v>
      </c>
      <c r="R84" s="64"/>
    </row>
    <row r="85">
      <c r="A85" s="42"/>
      <c r="B85" s="44"/>
      <c r="C85" s="44"/>
      <c r="D85" s="46"/>
      <c r="E85" s="47" t="s">
        <v>342</v>
      </c>
      <c r="F85" s="50">
        <v>43915.0</v>
      </c>
      <c r="G85" s="53" t="s">
        <v>443</v>
      </c>
      <c r="H85" s="54"/>
      <c r="I85" s="59" t="s">
        <v>160</v>
      </c>
      <c r="J85" s="164" t="str">
        <f>HYPERLINK("https://nam01.safelinks.protection.outlook.com/ap/t-59584e83/?url=https%3A%2F%2Fteams.microsoft.com%2Fl%2Fmeetup-join%2F19%253ameeting_ZGQ2NTEwY2YtNzliOC00MGEyLWEyNzMtZjJiNjcxNmZjNzE1%2540thread.v2%2F0%3Fcontext%3D%257b%2522Tid%2522%253a%252218492cb7-ef45"&amp;"-4561-8571-0c42e5f7ac07%2522%252c%2522Oid%2522%253a%2522330b8c37-6819-4c0a-ba6b-72395a392551%2522%257d&amp;data=02%7C01%7CLNielsen%40schools.nyc.gov%7Cf4e07537f5444dbcb02c08d7d0236dfe%7C18492cb7ef45456185710c42e5f7ac07%7C0%7C0%7C637206722985622541&amp;sdata=Ix4i2"&amp;"pBO2s84rXLiFVshuOomRQog4fzoiT18y%2B1WjPk%3D&amp;reserved=0","Join Teams &amp; Classroom Meeting")</f>
        <v>Join Teams &amp; Classroom Meeting</v>
      </c>
      <c r="K85" s="83" t="s">
        <v>449</v>
      </c>
      <c r="L85" s="53" t="s">
        <v>450</v>
      </c>
      <c r="M85" s="54"/>
      <c r="N85" s="68">
        <v>98.0</v>
      </c>
      <c r="O85" s="127" t="s">
        <v>451</v>
      </c>
      <c r="P85" s="44"/>
      <c r="Q85" s="316" t="s">
        <v>55</v>
      </c>
      <c r="R85" s="64" t="s">
        <v>49</v>
      </c>
    </row>
    <row r="86" ht="32.25" customHeight="1">
      <c r="A86" s="336"/>
      <c r="B86" s="337"/>
      <c r="C86" s="337"/>
      <c r="D86" s="337"/>
      <c r="E86" s="44" t="s">
        <v>342</v>
      </c>
      <c r="F86" s="296">
        <v>43915.0</v>
      </c>
      <c r="G86" s="43" t="s">
        <v>453</v>
      </c>
      <c r="H86" s="337"/>
      <c r="I86" s="59" t="s">
        <v>454</v>
      </c>
      <c r="J86" s="59" t="s">
        <v>455</v>
      </c>
      <c r="K86" s="83" t="s">
        <v>456</v>
      </c>
      <c r="L86" s="43" t="s">
        <v>457</v>
      </c>
      <c r="M86" s="337"/>
      <c r="N86" s="338">
        <v>215.0</v>
      </c>
      <c r="O86" s="339"/>
      <c r="P86" s="337"/>
      <c r="Q86" s="337"/>
      <c r="R86" s="337"/>
    </row>
    <row r="87" ht="18.0" customHeight="1">
      <c r="A87" s="42"/>
      <c r="B87" s="44"/>
      <c r="C87" s="44"/>
      <c r="D87" s="46"/>
      <c r="E87" s="47" t="s">
        <v>342</v>
      </c>
      <c r="F87" s="50">
        <v>43915.0</v>
      </c>
      <c r="G87" s="53" t="s">
        <v>302</v>
      </c>
      <c r="H87" s="54"/>
      <c r="I87" s="59" t="s">
        <v>167</v>
      </c>
      <c r="J87" s="107" t="s">
        <v>69</v>
      </c>
      <c r="K87" s="83" t="s">
        <v>80</v>
      </c>
      <c r="L87" s="53" t="s">
        <v>303</v>
      </c>
      <c r="M87" s="54"/>
      <c r="N87" s="68">
        <v>18.0</v>
      </c>
      <c r="O87" s="127" t="s">
        <v>304</v>
      </c>
      <c r="P87" s="44"/>
      <c r="Q87" s="316" t="s">
        <v>461</v>
      </c>
      <c r="R87" s="64" t="s">
        <v>305</v>
      </c>
    </row>
    <row r="88">
      <c r="A88" s="42"/>
      <c r="B88" s="44"/>
      <c r="C88" s="44"/>
      <c r="D88" s="46"/>
      <c r="E88" s="47" t="s">
        <v>342</v>
      </c>
      <c r="F88" s="50">
        <v>43915.0</v>
      </c>
      <c r="G88" s="53" t="s">
        <v>125</v>
      </c>
      <c r="H88" s="54"/>
      <c r="I88" s="59" t="s">
        <v>105</v>
      </c>
      <c r="J88" s="107" t="s">
        <v>126</v>
      </c>
      <c r="K88" s="44" t="s">
        <v>306</v>
      </c>
      <c r="L88" s="72" t="s">
        <v>464</v>
      </c>
      <c r="M88" s="80" t="str">
        <f>HYPERLINK("https://docs.google.com/document/d/1vDJ1ESBrN-Wea1cAwLeMDmJHHnLvqXSPhjrECrwqxKE/edit?usp=sharing","Google Demo Agenda")</f>
        <v>Google Demo Agenda</v>
      </c>
      <c r="N88" s="68">
        <v>169.0</v>
      </c>
      <c r="O88" s="127"/>
      <c r="P88" s="44"/>
      <c r="Q88" s="316" t="s">
        <v>125</v>
      </c>
      <c r="R88" s="64"/>
    </row>
    <row r="89">
      <c r="A89" s="73"/>
      <c r="B89" s="74"/>
      <c r="C89" s="74"/>
      <c r="D89" s="74"/>
      <c r="E89" s="47" t="s">
        <v>342</v>
      </c>
      <c r="F89" s="50">
        <v>43915.0</v>
      </c>
      <c r="G89" s="43" t="s">
        <v>317</v>
      </c>
      <c r="H89" s="75"/>
      <c r="I89" s="59" t="s">
        <v>465</v>
      </c>
      <c r="J89" s="252" t="str">
        <f>HYPERLINK("https://us04web.zoom.us/j/140002800","Join Zoom Meeting")</f>
        <v>Join Zoom Meeting</v>
      </c>
      <c r="K89" s="83" t="s">
        <v>80</v>
      </c>
      <c r="L89" s="343" t="s">
        <v>210</v>
      </c>
      <c r="M89" s="74"/>
      <c r="N89" s="112">
        <v>138.0</v>
      </c>
      <c r="O89" s="257" t="s">
        <v>212</v>
      </c>
      <c r="P89" s="74"/>
      <c r="Q89" s="316" t="s">
        <v>227</v>
      </c>
      <c r="R89" s="74"/>
    </row>
    <row r="90">
      <c r="A90" s="42"/>
      <c r="B90" s="44"/>
      <c r="C90" s="44"/>
      <c r="D90" s="46"/>
      <c r="E90" s="47" t="s">
        <v>342</v>
      </c>
      <c r="F90" s="50">
        <v>43915.0</v>
      </c>
      <c r="G90" s="53" t="s">
        <v>150</v>
      </c>
      <c r="H90" s="54"/>
      <c r="I90" s="59" t="s">
        <v>188</v>
      </c>
      <c r="J90" s="266" t="str">
        <f>HYPERLINK("https://teams.microsoft.com/l/meetup-join/19%3ameeting_YzhkZDFkMjItYjBmMy00ZmUyLWJkZWUtYzE5ZGZlNjk0N2Qw%40thread.v2/0?context=%7b%22Tid%22%3a%2218492cb7-ef45-4561-8571-0c42e5f7ac07%22%2c%22Oid%22%3a%22330b8c37-6819-4c0a-ba6b-72395a392551%22%7d","Join Microsoft Teams Meeting")</f>
        <v>Join Microsoft Teams Meeting</v>
      </c>
      <c r="K90" s="44" t="s">
        <v>52</v>
      </c>
      <c r="L90" s="67"/>
      <c r="M90" s="54"/>
      <c r="N90" s="68">
        <v>51.0</v>
      </c>
      <c r="O90" s="76" t="s">
        <v>54</v>
      </c>
      <c r="P90" s="44"/>
      <c r="Q90" s="316" t="s">
        <v>55</v>
      </c>
      <c r="R90" s="64"/>
    </row>
    <row r="91" ht="17.25" customHeight="1">
      <c r="A91" s="42"/>
      <c r="B91" s="44"/>
      <c r="C91" s="44"/>
      <c r="D91" s="46"/>
      <c r="E91" s="47" t="s">
        <v>342</v>
      </c>
      <c r="F91" s="50">
        <v>43915.0</v>
      </c>
      <c r="G91" s="53" t="s">
        <v>394</v>
      </c>
      <c r="H91" s="54"/>
      <c r="I91" s="59" t="s">
        <v>188</v>
      </c>
      <c r="J91" s="71" t="str">
        <f>HYPERLINK("https://teams.microsoft.com/l/meetup-join/19%3ameeting_MTM3ZTM0NWItYzk2NC00ZDE4LWE5MjEtNWEyM2IxNjcwNWI4%40thread.v2/0?context=%7b%22Tid%22%3a%2218492cb7-ef45-4561-8571-0c42e5f7ac07%22%2c%22Oid%22%3a%22330b8c37-6819-4c0a-ba6b-72395a392551%22%7d","Join Microsoft Teams Meeting")</f>
        <v>Join Microsoft Teams Meeting</v>
      </c>
      <c r="K91" s="44" t="s">
        <v>52</v>
      </c>
      <c r="L91" s="67" t="s">
        <v>475</v>
      </c>
      <c r="M91" s="54"/>
      <c r="N91" s="68">
        <v>37.0</v>
      </c>
      <c r="O91" s="127" t="s">
        <v>61</v>
      </c>
      <c r="P91" s="44"/>
      <c r="Q91" s="316" t="s">
        <v>55</v>
      </c>
      <c r="R91" s="64"/>
    </row>
    <row r="92">
      <c r="A92" s="73"/>
      <c r="B92" s="74"/>
      <c r="C92" s="74"/>
      <c r="D92" s="74"/>
      <c r="E92" s="47" t="s">
        <v>342</v>
      </c>
      <c r="F92" s="50">
        <v>43915.0</v>
      </c>
      <c r="G92" s="43" t="s">
        <v>476</v>
      </c>
      <c r="H92" s="75" t="s">
        <v>214</v>
      </c>
      <c r="I92" s="59" t="s">
        <v>214</v>
      </c>
      <c r="J92" s="79" t="s">
        <v>216</v>
      </c>
      <c r="K92" s="83" t="s">
        <v>80</v>
      </c>
      <c r="L92" s="89" t="s">
        <v>71</v>
      </c>
      <c r="M92" s="74"/>
      <c r="N92" s="112">
        <v>93.0</v>
      </c>
      <c r="O92" s="308" t="s">
        <v>477</v>
      </c>
      <c r="P92" s="74"/>
      <c r="Q92" s="316" t="s">
        <v>478</v>
      </c>
      <c r="R92" s="74"/>
    </row>
    <row r="93">
      <c r="A93" s="42"/>
      <c r="B93" s="44"/>
      <c r="C93" s="44"/>
      <c r="D93" s="46"/>
      <c r="E93" s="47" t="s">
        <v>342</v>
      </c>
      <c r="F93" s="50">
        <v>43915.0</v>
      </c>
      <c r="G93" s="53" t="s">
        <v>479</v>
      </c>
      <c r="H93" s="54"/>
      <c r="I93" s="59" t="s">
        <v>480</v>
      </c>
      <c r="J93" s="71" t="str">
        <f>HYPERLINK("https://nam01.safelinks.protection.outlook.com/ap/t-59584e83/?url=https%3A%2F%2Fteams.microsoft.com%2Fl%2Fmeetup-join%2F19%253ameeting_MDA2MDg2ZDUtMDgwYy00NTFhLTgzYTQtMDRjMTIyNWNlMmVj%2540thread.v2%2F0%3Fcontext%3D%257b%2522Tid%2522%253a%252218492cb7-ef45"&amp;"-4561-8571-0c42e5f7ac07%2522%252c%2522Oid%2522%253a%2522330b8c37-6819-4c0a-ba6b-72395a392551%2522%257d&amp;data=02%7C01%7CTCarrozza2%40schools.nyc.gov%7Cbc9f87c640ac4f75a98508d7d03c07e6%7C18492cb7ef45456185710c42e5f7ac07%7C0%7C0%7C637206828553550429&amp;sdata=M1s"&amp;"CxisLplvIyI3zmtiEMjbK%2FHd95UnRrrgk0fdGxrA%3D&amp;reserved=0","Join Microsoft Teams Meeting")</f>
        <v>Join Microsoft Teams Meeting</v>
      </c>
      <c r="K93" s="44" t="s">
        <v>52</v>
      </c>
      <c r="L93" s="67" t="s">
        <v>450</v>
      </c>
      <c r="M93" s="54"/>
      <c r="N93" s="68">
        <v>25.0</v>
      </c>
      <c r="O93" s="76"/>
      <c r="P93" s="44"/>
      <c r="Q93" s="316" t="s">
        <v>55</v>
      </c>
      <c r="R93" s="64" t="s">
        <v>482</v>
      </c>
    </row>
    <row r="94">
      <c r="A94" s="42"/>
      <c r="B94" s="44"/>
      <c r="C94" s="44"/>
      <c r="D94" s="46"/>
      <c r="E94" s="47" t="s">
        <v>342</v>
      </c>
      <c r="F94" s="50">
        <v>43915.0</v>
      </c>
      <c r="G94" s="53" t="s">
        <v>483</v>
      </c>
      <c r="H94" s="54"/>
      <c r="I94" s="59" t="s">
        <v>484</v>
      </c>
      <c r="J94" s="346" t="s">
        <v>413</v>
      </c>
      <c r="K94" s="44" t="s">
        <v>52</v>
      </c>
      <c r="L94" s="67" t="s">
        <v>413</v>
      </c>
      <c r="M94" s="80"/>
      <c r="N94" s="68">
        <v>40.0</v>
      </c>
      <c r="O94" s="127"/>
      <c r="P94" s="44"/>
      <c r="Q94" s="64"/>
      <c r="R94" s="64"/>
    </row>
    <row r="95">
      <c r="A95" s="42"/>
      <c r="B95" s="44"/>
      <c r="C95" s="44"/>
      <c r="D95" s="46"/>
      <c r="E95" s="47" t="s">
        <v>342</v>
      </c>
      <c r="F95" s="50">
        <v>43915.0</v>
      </c>
      <c r="G95" s="53" t="s">
        <v>125</v>
      </c>
      <c r="H95" s="54"/>
      <c r="I95" s="59" t="s">
        <v>68</v>
      </c>
      <c r="J95" s="107" t="s">
        <v>126</v>
      </c>
      <c r="K95" s="109" t="s">
        <v>247</v>
      </c>
      <c r="L95" s="72" t="s">
        <v>485</v>
      </c>
      <c r="M95" s="80" t="str">
        <f>HYPERLINK("https://docs.google.com/document/d/1vDJ1ESBrN-Wea1cAwLeMDmJHHnLvqXSPhjrECrwqxKE/edit?usp=sharing","Google Demo Agenda")</f>
        <v>Google Demo Agenda</v>
      </c>
      <c r="N95" s="68">
        <v>122.0</v>
      </c>
      <c r="O95" s="127"/>
      <c r="P95" s="44"/>
      <c r="Q95" s="64" t="s">
        <v>125</v>
      </c>
      <c r="R95" s="64"/>
    </row>
    <row r="96" ht="17.25" customHeight="1">
      <c r="A96" s="42"/>
      <c r="B96" s="44"/>
      <c r="C96" s="44"/>
      <c r="D96" s="46"/>
      <c r="E96" s="47" t="s">
        <v>342</v>
      </c>
      <c r="F96" s="50">
        <v>43915.0</v>
      </c>
      <c r="G96" s="53" t="s">
        <v>150</v>
      </c>
      <c r="H96" s="54"/>
      <c r="I96" s="59" t="s">
        <v>250</v>
      </c>
      <c r="J96" s="266" t="str">
        <f>HYPERLINK("https://teams.microsoft.com/l/meetup-join/19%3ameeting_YzhkZDFkMjItYjBmMy00ZmUyLWJkZWUtYzE5ZGZlNjk0N2Qw%40thread.v2/0?context=%7b%22Tid%22%3a%2218492cb7-ef45-4561-8571-0c42e5f7ac07%22%2c%22Oid%22%3a%22330b8c37-6819-4c0a-ba6b-72395a392551%22%7d","Join Microsoft Teams Meeting")</f>
        <v>Join Microsoft Teams Meeting</v>
      </c>
      <c r="K96" s="44" t="s">
        <v>52</v>
      </c>
      <c r="L96" s="67" t="s">
        <v>164</v>
      </c>
      <c r="M96" s="54"/>
      <c r="N96" s="68">
        <v>34.0</v>
      </c>
      <c r="O96" s="76" t="s">
        <v>54</v>
      </c>
      <c r="P96" s="44"/>
      <c r="Q96" s="64" t="s">
        <v>55</v>
      </c>
      <c r="R96" s="64"/>
    </row>
    <row r="97" ht="17.25" customHeight="1">
      <c r="A97" s="42"/>
      <c r="B97" s="44"/>
      <c r="C97" s="44"/>
      <c r="D97" s="46"/>
      <c r="E97" s="47" t="s">
        <v>342</v>
      </c>
      <c r="F97" s="50">
        <v>43915.0</v>
      </c>
      <c r="G97" s="53" t="s">
        <v>394</v>
      </c>
      <c r="H97" s="54"/>
      <c r="I97" s="59" t="s">
        <v>250</v>
      </c>
      <c r="J97" s="71" t="str">
        <f>HYPERLINK("https://teams.microsoft.com/l/meetup-join/19%3ameeting_MTM3ZTM0NWItYzk2NC00ZDE4LWE5MjEtNWEyM2IxNjcwNWI4%40thread.v2/0?context=%7b%22Tid%22%3a%2218492cb7-ef45-4561-8571-0c42e5f7ac07%22%2c%22Oid%22%3a%22330b8c37-6819-4c0a-ba6b-72395a392551%22%7d","Join Microsoft Teams Meeting")</f>
        <v>Join Microsoft Teams Meeting</v>
      </c>
      <c r="K97" s="44" t="s">
        <v>52</v>
      </c>
      <c r="L97" s="67" t="s">
        <v>53</v>
      </c>
      <c r="M97" s="54"/>
      <c r="N97" s="68">
        <v>19.0</v>
      </c>
      <c r="O97" s="127" t="s">
        <v>61</v>
      </c>
      <c r="P97" s="44"/>
      <c r="Q97" s="64" t="s">
        <v>55</v>
      </c>
      <c r="R97" s="64"/>
    </row>
    <row r="98" ht="18.0" customHeight="1">
      <c r="A98" s="42"/>
      <c r="B98" s="44"/>
      <c r="C98" s="44"/>
      <c r="D98" s="46"/>
      <c r="E98" s="47" t="s">
        <v>342</v>
      </c>
      <c r="F98" s="50">
        <v>43915.0</v>
      </c>
      <c r="G98" s="53" t="s">
        <v>255</v>
      </c>
      <c r="H98" s="54"/>
      <c r="I98" s="59" t="s">
        <v>256</v>
      </c>
      <c r="J98" s="107" t="s">
        <v>126</v>
      </c>
      <c r="K98" s="109" t="s">
        <v>384</v>
      </c>
      <c r="L98" s="72" t="s">
        <v>488</v>
      </c>
      <c r="M98" s="80" t="str">
        <f>HYPERLINK("https://docs.google.com/document/d/1vDJ1ESBrN-Wea1cAwLeMDmJHHnLvqXSPhjrECrwqxKE/edit?usp=sharing","Google Demo Agenda")</f>
        <v>Google Demo Agenda</v>
      </c>
      <c r="N98" s="68">
        <v>75.0</v>
      </c>
      <c r="O98" s="127"/>
      <c r="P98" s="44"/>
      <c r="Q98" s="64" t="s">
        <v>125</v>
      </c>
      <c r="R98" s="64"/>
    </row>
    <row r="99">
      <c r="A99" s="42"/>
      <c r="B99" s="44"/>
      <c r="C99" s="44"/>
      <c r="D99" s="46"/>
      <c r="E99" s="47" t="s">
        <v>342</v>
      </c>
      <c r="F99" s="50">
        <v>43915.0</v>
      </c>
      <c r="G99" s="316" t="s">
        <v>489</v>
      </c>
      <c r="H99" s="54"/>
      <c r="I99" s="59" t="s">
        <v>490</v>
      </c>
      <c r="J99" s="164" t="str">
        <f>HYPERLINK("https://teams.microsoft.com/l/meetup-join/19%3ameeting_ZWViYTJhYjAtOTAyNy00ZjZmLWEyNGEtYmNmNjc2MDIzZWI3%40thread.v2/0?context=%7B%22Tid%22%3A%2272f988bf-86f1-41af-91ab-2d7cd011db47%22%2C%22Oid%22%3A%22addd7b3b-8a0e-4b3a-b408-8b241062970f%22%2C%22IsBroadca"&amp;"stMeeting%22%3Atrue%7D","Join the Flipgrid Meeting")</f>
        <v>Join the Flipgrid Meeting</v>
      </c>
      <c r="K99" s="109" t="s">
        <v>119</v>
      </c>
      <c r="L99" s="53"/>
      <c r="M99" s="80" t="str">
        <f>HYPERLINK("http://blog.flipgrid.com/flipgridpd","Flipgrid event")</f>
        <v>Flipgrid event</v>
      </c>
      <c r="N99" s="362" t="s">
        <v>491</v>
      </c>
      <c r="O99" s="127" t="s">
        <v>163</v>
      </c>
      <c r="P99" s="44"/>
      <c r="Q99" s="64" t="s">
        <v>493</v>
      </c>
      <c r="R99" s="64"/>
    </row>
  </sheetData>
  <conditionalFormatting sqref="N1 M2 M38:M39 M59 M77 N77:N100">
    <cfRule type="containsBlanks" dxfId="0" priority="1">
      <formula>LEN(TRIM(N1))=0</formula>
    </cfRule>
  </conditionalFormatting>
  <hyperlinks>
    <hyperlink r:id="rId1" ref="J20"/>
    <hyperlink r:id="rId2" ref="J21"/>
    <hyperlink r:id="rId3" ref="J23"/>
    <hyperlink r:id="rId4" ref="J26"/>
    <hyperlink r:id="rId5" ref="J27"/>
    <hyperlink r:id="rId6" ref="J28"/>
    <hyperlink r:id="rId7" ref="J31"/>
    <hyperlink r:id="rId8" ref="J34"/>
    <hyperlink r:id="rId9" ref="J35"/>
    <hyperlink r:id="rId10" ref="J36"/>
    <hyperlink r:id="rId11" ref="J37"/>
    <hyperlink r:id="rId12" ref="M42"/>
    <hyperlink r:id="rId13" ref="M44"/>
    <hyperlink r:id="rId14" ref="M45"/>
    <hyperlink r:id="rId15" ref="J46"/>
    <hyperlink r:id="rId16" ref="M47"/>
    <hyperlink r:id="rId17" ref="M48"/>
    <hyperlink r:id="rId18" ref="J57"/>
    <hyperlink r:id="rId19" ref="J58"/>
    <hyperlink r:id="rId20" ref="J62"/>
    <hyperlink r:id="rId21" ref="K62"/>
    <hyperlink r:id="rId22" ref="L62"/>
    <hyperlink r:id="rId23" ref="M62"/>
    <hyperlink r:id="rId24" ref="J63"/>
    <hyperlink r:id="rId25" ref="K63"/>
    <hyperlink r:id="rId26" ref="L63"/>
    <hyperlink r:id="rId27" ref="M63"/>
    <hyperlink r:id="rId28" ref="J64"/>
    <hyperlink r:id="rId29" ref="J66"/>
    <hyperlink r:id="rId30" ref="J67"/>
    <hyperlink r:id="rId31" ref="J68"/>
    <hyperlink r:id="rId32" ref="J71"/>
    <hyperlink r:id="rId33" ref="J72"/>
    <hyperlink r:id="rId34" ref="K72"/>
    <hyperlink r:id="rId35" ref="L72"/>
    <hyperlink r:id="rId36" ref="J75"/>
    <hyperlink r:id="rId37" ref="J76"/>
    <hyperlink r:id="rId38" ref="J80"/>
    <hyperlink r:id="rId39" ref="K80"/>
    <hyperlink r:id="rId40" ref="L80"/>
    <hyperlink r:id="rId41" ref="J81"/>
    <hyperlink r:id="rId42" ref="K81"/>
    <hyperlink r:id="rId43" ref="L81"/>
    <hyperlink r:id="rId44" ref="J82"/>
    <hyperlink r:id="rId45" ref="G84"/>
    <hyperlink r:id="rId46" ref="J84"/>
    <hyperlink r:id="rId47" ref="K84"/>
    <hyperlink r:id="rId48" ref="L84"/>
    <hyperlink r:id="rId49" ref="K87"/>
    <hyperlink r:id="rId50" ref="J88"/>
    <hyperlink r:id="rId51" ref="K89"/>
    <hyperlink r:id="rId52" ref="J92"/>
    <hyperlink r:id="rId53" ref="K92"/>
    <hyperlink r:id="rId54" ref="L92"/>
    <hyperlink r:id="rId55" ref="J95"/>
    <hyperlink r:id="rId56" ref="J98"/>
  </hyperlinks>
  <printOptions gridLines="1" horizontalCentered="1"/>
  <pageMargins bottom="0.75" footer="0.0" header="0.0" left="0.7" right="0.7" top="0.75"/>
  <pageSetup fitToHeight="0" cellComments="atEnd" orientation="portrait" pageOrder="overThenDown"/>
  <drawing r:id="rId5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0000"/>
    <outlinePr summaryBelow="0" summaryRight="0"/>
    <pageSetUpPr fitToPage="1"/>
  </sheetPr>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4.43" defaultRowHeight="15.75"/>
  <cols>
    <col customWidth="1" hidden="1" min="1" max="1" width="21.57"/>
    <col customWidth="1" hidden="1" min="2" max="2" width="14.0"/>
    <col customWidth="1" hidden="1" min="3" max="3" width="12.86"/>
    <col customWidth="1" hidden="1" min="4" max="4" width="21.57"/>
    <col customWidth="1" min="5" max="5" width="27.71"/>
    <col customWidth="1" min="6" max="6" width="26.71"/>
    <col customWidth="1" min="7" max="7" width="15.86"/>
    <col customWidth="1" min="8" max="8" width="23.14"/>
    <col customWidth="1" min="9" max="9" width="19.29"/>
    <col customWidth="1" min="10" max="10" width="15.86"/>
    <col customWidth="1" min="11" max="11" width="20.86"/>
    <col customWidth="1" min="12" max="12" width="11.0"/>
    <col customWidth="1" min="13" max="13" width="7.0"/>
    <col customWidth="1" min="14" max="14" width="84.86"/>
    <col customWidth="1" min="15" max="15" width="21.57"/>
    <col customWidth="1" min="16" max="16" width="8.29"/>
  </cols>
  <sheetData>
    <row r="1" ht="36.0" customHeight="1">
      <c r="A1" s="139" t="s">
        <v>0</v>
      </c>
      <c r="B1" s="139" t="s">
        <v>2</v>
      </c>
      <c r="C1" s="139" t="s">
        <v>4</v>
      </c>
      <c r="D1" s="139" t="s">
        <v>6</v>
      </c>
      <c r="E1" s="141" t="s">
        <v>200</v>
      </c>
      <c r="F1" s="141" t="s">
        <v>201</v>
      </c>
      <c r="G1" s="141" t="s">
        <v>202</v>
      </c>
      <c r="H1" s="142" t="s">
        <v>203</v>
      </c>
      <c r="I1" s="141" t="s">
        <v>204</v>
      </c>
      <c r="J1" s="141" t="s">
        <v>205</v>
      </c>
      <c r="K1" s="141" t="s">
        <v>206</v>
      </c>
      <c r="L1" s="141" t="s">
        <v>207</v>
      </c>
      <c r="M1" s="141" t="s">
        <v>22</v>
      </c>
      <c r="N1" s="141" t="s">
        <v>208</v>
      </c>
      <c r="O1" s="141" t="s">
        <v>209</v>
      </c>
      <c r="P1" s="143"/>
    </row>
    <row r="2" ht="1.5" customHeight="1">
      <c r="A2" s="37"/>
      <c r="B2" s="81"/>
      <c r="C2" s="81"/>
      <c r="D2" s="101"/>
      <c r="E2" s="146"/>
      <c r="F2" s="146"/>
      <c r="G2" s="146"/>
      <c r="H2" s="146"/>
      <c r="I2" s="146"/>
      <c r="J2" s="146"/>
      <c r="K2" s="146"/>
      <c r="L2" s="146"/>
      <c r="M2" s="146"/>
      <c r="N2" s="146"/>
      <c r="O2" s="64" t="s">
        <v>211</v>
      </c>
      <c r="P2" s="148"/>
    </row>
    <row r="3">
      <c r="A3" s="37"/>
      <c r="B3" s="81"/>
      <c r="C3" s="81"/>
      <c r="D3" s="101"/>
      <c r="E3" s="150">
        <v>43908.0</v>
      </c>
      <c r="F3" s="94" t="s">
        <v>215</v>
      </c>
      <c r="G3" s="151" t="str">
        <f>HYPERLINK("https://www.surveygizmo.com/s3/2325967/SPOC-PD-Registration","Register Here")</f>
        <v>Register Here</v>
      </c>
      <c r="H3" s="94" t="s">
        <v>217</v>
      </c>
      <c r="I3" s="94" t="s">
        <v>218</v>
      </c>
      <c r="J3" s="94" t="s">
        <v>116</v>
      </c>
      <c r="K3" s="94" t="s">
        <v>219</v>
      </c>
      <c r="L3" s="153" t="str">
        <f>HYPERLINK("https://nam01.safelinks.protection.outlook.com/?url=https%3A%2F%2Fdocs.google.com%2Fdocument%2Fd%2F10AOcbcHtF2mm4O0GTKvLjClMgHLBDxhuZIwBBApZGCk%2Fedit%3Fusp%3Dsharing&amp;data=02%7C01%7CNSchepi%40schools.nyc.gov%7Ce536d146b1004e5ca09308d7a8e5047b%7C18492cb7ef"&amp;"45456185710c42e5f7ac07%7C0%7C0%7C637163573883648926&amp;sdata=%2FqPDuHrRHV9E6FryMR7M9xm15c2rYbXhbQyiFByHn0w%3D&amp;reserved=0","SPOC Meet-up JAMF")</f>
        <v>SPOC Meet-up JAMF</v>
      </c>
      <c r="M3" s="94" t="s">
        <v>221</v>
      </c>
      <c r="N3" s="94" t="s">
        <v>222</v>
      </c>
      <c r="O3" s="64" t="s">
        <v>211</v>
      </c>
      <c r="P3" s="148"/>
    </row>
    <row r="4">
      <c r="A4" s="37"/>
      <c r="B4" s="81"/>
      <c r="C4" s="81"/>
      <c r="D4" s="101"/>
      <c r="E4" s="154">
        <v>43916.0</v>
      </c>
      <c r="F4" s="155" t="s">
        <v>223</v>
      </c>
      <c r="G4" s="152" t="s">
        <v>224</v>
      </c>
      <c r="H4" s="155" t="s">
        <v>225</v>
      </c>
      <c r="I4" s="155" t="s">
        <v>226</v>
      </c>
      <c r="J4" s="94" t="s">
        <v>116</v>
      </c>
      <c r="K4" s="94" t="s">
        <v>219</v>
      </c>
      <c r="L4" s="153" t="str">
        <f>HYPERLINK("https://nycdoe.sharepoint.com/:w:/s/BKLYNTeamSharePoint/EURGvFlxPZtLjrxuedmj4TgBb0qu6YA5pGSm08OB5hEPvw?e=gUBeTg ","SPOC Meet-up")</f>
        <v>SPOC Meet-up</v>
      </c>
      <c r="M4" s="94" t="s">
        <v>221</v>
      </c>
      <c r="N4" s="94" t="s">
        <v>222</v>
      </c>
      <c r="O4" s="64" t="s">
        <v>211</v>
      </c>
      <c r="P4" s="148"/>
    </row>
    <row r="5">
      <c r="A5" s="37"/>
      <c r="B5" s="81"/>
      <c r="C5" s="81"/>
      <c r="D5" s="101"/>
      <c r="E5" s="154">
        <v>43917.0</v>
      </c>
      <c r="F5" s="155" t="s">
        <v>230</v>
      </c>
      <c r="G5" s="152" t="s">
        <v>224</v>
      </c>
      <c r="H5" s="155" t="s">
        <v>232</v>
      </c>
      <c r="I5" s="155" t="s">
        <v>226</v>
      </c>
      <c r="J5" s="94" t="s">
        <v>116</v>
      </c>
      <c r="K5" s="94" t="s">
        <v>219</v>
      </c>
      <c r="L5" s="153" t="str">
        <f>HYPERLINK("https://nam01.safelinks.protection.outlook.com/ap/w-59584e83/?url=https%3A%2F%2Fnycdoe.sharepoint.com%2F%3Aw%3A%2Fs%2Fbronxtechnologyteam%2FEQ_bOYi46TNOnoAh187n5LEBKWK0Z2qKOcg39QIR0kPSkg%3Fe%3D8xcH73&amp;data=02%7C01%7CNSchepi%40schools.nyc.gov%7C2d7e31e6211e"&amp;"4ef6d69408d74d99b692%7C18492cb7ef45456185710c42e5f7ac07%7C0%7C0%7C637063194891447904&amp;sdata=ucFzTY41c2NEMMvCTJTMdZ%2Bqm4KZJKHBrC7LKHXDXHM%3D&amp;reserved=0","SPOC Meet-up")</f>
        <v>SPOC Meet-up</v>
      </c>
      <c r="M5" s="94" t="s">
        <v>221</v>
      </c>
      <c r="N5" s="94" t="s">
        <v>222</v>
      </c>
      <c r="O5" s="64" t="s">
        <v>211</v>
      </c>
      <c r="P5" s="148"/>
    </row>
    <row r="6">
      <c r="A6" s="37"/>
      <c r="B6" s="81"/>
      <c r="C6" s="81"/>
      <c r="D6" s="101"/>
      <c r="E6" s="150">
        <v>43924.0</v>
      </c>
      <c r="F6" s="94" t="s">
        <v>235</v>
      </c>
      <c r="G6" s="151" t="str">
        <f t="shared" ref="G6:G7" si="1">HYPERLINK("https://www.surveygizmo.com/s3/2325967/SPOC-PD-Registration","Register Here")</f>
        <v>Register Here</v>
      </c>
      <c r="H6" s="94" t="s">
        <v>237</v>
      </c>
      <c r="I6" s="94" t="s">
        <v>226</v>
      </c>
      <c r="J6" s="94" t="s">
        <v>116</v>
      </c>
      <c r="K6" s="94" t="s">
        <v>219</v>
      </c>
      <c r="L6" s="153" t="str">
        <f>HYPERLINK("https://drive.google.com/open?id=16rMmVYxkbDNBGVYNyzpHCx-A-n4TUprP","SPOC Meet-up")</f>
        <v>SPOC Meet-up</v>
      </c>
      <c r="M6" s="94" t="s">
        <v>221</v>
      </c>
      <c r="N6" s="94" t="s">
        <v>238</v>
      </c>
      <c r="O6" s="64" t="s">
        <v>211</v>
      </c>
      <c r="P6" s="148"/>
    </row>
    <row r="7">
      <c r="A7" s="37"/>
      <c r="B7" s="81"/>
      <c r="C7" s="81"/>
      <c r="D7" s="101"/>
      <c r="E7" s="150">
        <v>43928.0</v>
      </c>
      <c r="F7" s="94" t="s">
        <v>241</v>
      </c>
      <c r="G7" s="151" t="str">
        <f t="shared" si="1"/>
        <v>Register Here</v>
      </c>
      <c r="H7" s="94" t="s">
        <v>243</v>
      </c>
      <c r="I7" s="94" t="s">
        <v>226</v>
      </c>
      <c r="J7" s="94" t="s">
        <v>116</v>
      </c>
      <c r="K7" s="94" t="s">
        <v>219</v>
      </c>
      <c r="L7" s="153" t="str">
        <f>HYPERLINK("https://nam01.safelinks.protection.outlook.com/ap/w-59584e83/?url=https%3A%2F%2Fnycdoe.sharepoint.com%2F%3Aw%3A%2Fr%2Fsites%2FDIITSPOCSharePoint%2FShared%2520Documents%2FSPOC%2520Meet-up%2FSPOC%2520Meet-up%2520Microsoft.docx%3Fd%3Dw364854477a2b40f3b01b25f"&amp;"8ffb679ce%26csf%3D1%26e%3DgpoGs5&amp;data=02%7C01%7CNSchepi%40schools.nyc.gov%7Cd7367ac6fc3f425fa11008d721adafa0%7C18492cb7ef45456185710c42e5f7ac07%7C0%7C0%7C637014902163890611&amp;sdata=PC8wmjJxa5wdWVMqUXeZCpRDc9Z2d1kQ%2FnNkuo8gp%2B0%3D&amp;reserved=0","SPOC Meet-up Office 365")</f>
        <v>SPOC Meet-up Office 365</v>
      </c>
      <c r="M7" s="94" t="s">
        <v>221</v>
      </c>
      <c r="N7" s="94" t="s">
        <v>222</v>
      </c>
      <c r="O7" s="64" t="s">
        <v>211</v>
      </c>
      <c r="P7" s="148"/>
    </row>
    <row r="8">
      <c r="A8" s="37"/>
      <c r="B8" s="81"/>
      <c r="C8" s="81"/>
      <c r="D8" s="101"/>
      <c r="E8" s="154">
        <v>43944.0</v>
      </c>
      <c r="F8" s="155" t="s">
        <v>223</v>
      </c>
      <c r="G8" s="152" t="s">
        <v>224</v>
      </c>
      <c r="H8" s="155" t="s">
        <v>249</v>
      </c>
      <c r="I8" s="155" t="s">
        <v>226</v>
      </c>
      <c r="J8" s="94" t="s">
        <v>116</v>
      </c>
      <c r="K8" s="94" t="s">
        <v>219</v>
      </c>
      <c r="L8" s="153" t="str">
        <f t="shared" ref="L8:L9" si="2">HYPERLINK("https://nycdoe.sharepoint.com/:w:/s/BKLYNTeamSharePoint/EURGvFlxPZtLjrxuedmj4TgBb0qu6YA5pGSm08OB5hEPvw?e=gUBeTg ","SPOC Meet-up")</f>
        <v>SPOC Meet-up</v>
      </c>
      <c r="M8" s="94" t="s">
        <v>221</v>
      </c>
      <c r="N8" s="94" t="s">
        <v>222</v>
      </c>
      <c r="O8" s="64" t="s">
        <v>211</v>
      </c>
      <c r="P8" s="148"/>
    </row>
    <row r="9">
      <c r="A9" s="37"/>
      <c r="B9" s="81"/>
      <c r="C9" s="81"/>
      <c r="D9" s="101"/>
      <c r="E9" s="150">
        <v>43950.0</v>
      </c>
      <c r="F9" s="94" t="s">
        <v>223</v>
      </c>
      <c r="G9" s="151" t="str">
        <f t="shared" ref="G9:G11" si="3">HYPERLINK("https://www.surveygizmo.com/s3/2325967/SPOC-PD-Registration","Register Here")</f>
        <v>Register Here</v>
      </c>
      <c r="H9" s="94" t="s">
        <v>251</v>
      </c>
      <c r="I9" s="94" t="s">
        <v>226</v>
      </c>
      <c r="J9" s="94" t="s">
        <v>116</v>
      </c>
      <c r="K9" s="94" t="s">
        <v>219</v>
      </c>
      <c r="L9" s="153" t="str">
        <f t="shared" si="2"/>
        <v>SPOC Meet-up</v>
      </c>
      <c r="M9" s="94" t="s">
        <v>221</v>
      </c>
      <c r="N9" s="94" t="s">
        <v>222</v>
      </c>
      <c r="O9" s="64"/>
      <c r="P9" s="148"/>
    </row>
    <row r="10">
      <c r="A10" s="37"/>
      <c r="B10" s="81"/>
      <c r="C10" s="81"/>
      <c r="D10" s="101"/>
      <c r="E10" s="150">
        <v>43963.0</v>
      </c>
      <c r="F10" s="94" t="s">
        <v>253</v>
      </c>
      <c r="G10" s="151" t="str">
        <f t="shared" si="3"/>
        <v>Register Here</v>
      </c>
      <c r="H10" s="94" t="s">
        <v>254</v>
      </c>
      <c r="I10" s="94" t="s">
        <v>226</v>
      </c>
      <c r="J10" s="94" t="s">
        <v>116</v>
      </c>
      <c r="K10" s="94" t="s">
        <v>219</v>
      </c>
      <c r="L10" s="153" t="str">
        <f>HYPERLINK("https://nam01.safelinks.protection.outlook.com/ap/w-59584e83/?url=https%3A%2F%2Fnycdoe.sharepoint.com%2F%3Aw%3A%2Fr%2Fsites%2FDIITSPOCSharePoint%2FShared%2520Documents%2FSPOC%2520Meet-up%2FSPOC%2520Meet-Up%2520%2520-%2520Agenda%2520with%2520Andrew%2520Lie"&amp;"bowitz%2520Google.docx%3Fd%3Dw271d6138c79b45fab57f38999b7db52d%26csf%3D1%26e%3DVOzAxj&amp;data=02%7C01%7CNSchepi%40schools.nyc.gov%7Cd7367ac6fc3f425fa11008d721adafa0%7C18492cb7ef45456185710c42e5f7ac07%7C0%7C0%7C637014902163880630&amp;sdata=cMebobvUuTqONm76VLnLvk%"&amp;"2FbRdMCBu2kEG88Wh%2FP7so%3D&amp;reserved=0","SPOC Meet-up G Suite")</f>
        <v>SPOC Meet-up G Suite</v>
      </c>
      <c r="M10" s="94" t="s">
        <v>221</v>
      </c>
      <c r="N10" s="94" t="s">
        <v>222</v>
      </c>
      <c r="O10" s="64" t="s">
        <v>211</v>
      </c>
      <c r="P10" s="148"/>
    </row>
    <row r="11">
      <c r="A11" s="163"/>
      <c r="B11" s="39"/>
      <c r="C11" s="39"/>
      <c r="D11" s="41"/>
      <c r="E11" s="150">
        <v>43980.0</v>
      </c>
      <c r="F11" s="94" t="s">
        <v>230</v>
      </c>
      <c r="G11" s="151" t="str">
        <f t="shared" si="3"/>
        <v>Register Here</v>
      </c>
      <c r="H11" s="94" t="s">
        <v>232</v>
      </c>
      <c r="I11" s="94" t="s">
        <v>226</v>
      </c>
      <c r="J11" s="94" t="s">
        <v>116</v>
      </c>
      <c r="K11" s="94" t="s">
        <v>219</v>
      </c>
      <c r="L11" s="153" t="str">
        <f>HYPERLINK("https://nam01.safelinks.protection.outlook.com/ap/w-59584e83/?url=https%3A%2F%2Fnycdoe.sharepoint.com%2F%3Aw%3A%2Fs%2Fbronxtechnologyteam%2FETzSUmxRkxdGhAaDDSQM-WABg4pyAYC01UN0pndijMTclg%3Fe%3DFZkSXR&amp;data=02%7C01%7CNSchepi%40schools.nyc.gov%7C2d7e31e6211e"&amp;"4ef6d69408d74d99b692%7C18492cb7ef45456185710c42e5f7ac07%7C0%7C0%7C637063194891457901&amp;sdata=ZvUure5iEwCdc6HfWC7X6BGcv1MakhepQkaEvSurpmY%3D&amp;reserved=0","SPOC Meet-up")</f>
        <v>SPOC Meet-up</v>
      </c>
      <c r="M11" s="94" t="s">
        <v>221</v>
      </c>
      <c r="N11" s="94" t="s">
        <v>222</v>
      </c>
      <c r="O11" s="64" t="s">
        <v>211</v>
      </c>
      <c r="P11" s="148"/>
    </row>
  </sheetData>
  <printOptions gridLines="1" horizontalCentered="1"/>
  <pageMargins bottom="0.75" footer="0.0" header="0.0" left="0.7" right="0.7" top="0.75"/>
  <pageSetup fitToHeight="0" cellComments="atEnd" orientation="portrait" pageOrder="overThenDow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D966"/>
    <outlinePr summaryBelow="0" summaryRight="0"/>
    <pageSetUpPr fitToPage="1"/>
  </sheetPr>
  <sheetViews>
    <sheetView workbookViewId="0">
      <pane xSplit="8.0" ySplit="1.0" topLeftCell="I2" activePane="bottomRight" state="frozen"/>
      <selection activeCell="I1" sqref="I1" pane="topRight"/>
      <selection activeCell="A2" sqref="A2" pane="bottomLeft"/>
      <selection activeCell="I2" sqref="I2" pane="bottomRight"/>
    </sheetView>
  </sheetViews>
  <sheetFormatPr customHeight="1" defaultColWidth="14.43" defaultRowHeight="15.75"/>
  <cols>
    <col customWidth="1" hidden="1" min="1" max="1" width="21.57"/>
    <col customWidth="1" hidden="1" min="2" max="2" width="14.0"/>
    <col customWidth="1" hidden="1" min="3" max="3" width="12.86"/>
    <col customWidth="1" hidden="1" min="4" max="4" width="21.57"/>
    <col customWidth="1" min="5" max="5" width="25.71"/>
    <col customWidth="1" min="6" max="6" width="41.86"/>
    <col customWidth="1" hidden="1" min="7" max="7" width="37.0"/>
    <col customWidth="1" min="8" max="8" width="19.29"/>
    <col customWidth="1" min="9" max="9" width="32.43"/>
    <col customWidth="1" min="10" max="10" width="32.0"/>
    <col customWidth="1" min="11" max="11" width="21.71"/>
    <col customWidth="1" hidden="1" min="12" max="12" width="23.71"/>
    <col customWidth="1" min="13" max="13" width="15.0"/>
    <col customWidth="1" hidden="1" min="14" max="14" width="7.0"/>
    <col customWidth="1" min="15" max="15" width="125.57"/>
    <col customWidth="1" min="16" max="16" width="8.29"/>
    <col customWidth="1" hidden="1" min="17" max="18" width="21.57"/>
  </cols>
  <sheetData>
    <row r="1" ht="36.0" customHeight="1">
      <c r="A1" s="142" t="s">
        <v>0</v>
      </c>
      <c r="B1" s="142" t="s">
        <v>2</v>
      </c>
      <c r="C1" s="142" t="s">
        <v>4</v>
      </c>
      <c r="D1" s="142" t="s">
        <v>6</v>
      </c>
      <c r="E1" s="177" t="s">
        <v>9</v>
      </c>
      <c r="F1" s="178" t="s">
        <v>201</v>
      </c>
      <c r="G1" s="141" t="s">
        <v>12</v>
      </c>
      <c r="H1" s="141" t="s">
        <v>204</v>
      </c>
      <c r="I1" s="141" t="s">
        <v>269</v>
      </c>
      <c r="J1" s="141" t="s">
        <v>16</v>
      </c>
      <c r="K1" s="180" t="s">
        <v>17</v>
      </c>
      <c r="L1" s="141" t="s">
        <v>206</v>
      </c>
      <c r="M1" s="141" t="s">
        <v>207</v>
      </c>
      <c r="N1" s="141" t="s">
        <v>22</v>
      </c>
      <c r="O1" s="182" t="s">
        <v>208</v>
      </c>
      <c r="P1" s="143"/>
      <c r="Q1" s="141" t="s">
        <v>209</v>
      </c>
      <c r="R1" s="141"/>
    </row>
    <row r="2">
      <c r="A2" s="185"/>
      <c r="B2" s="186"/>
      <c r="C2" s="186"/>
      <c r="D2" s="187"/>
      <c r="E2" s="43" t="s">
        <v>274</v>
      </c>
      <c r="F2" s="10" t="s">
        <v>275</v>
      </c>
      <c r="G2" s="69" t="str">
        <f>HYPERLINK("https://learn.flglobal.org/users/checkout/auth","Rapid Transition to Online learning ")</f>
        <v>Rapid Transition to Online learning </v>
      </c>
      <c r="H2" s="59" t="s">
        <v>276</v>
      </c>
      <c r="I2" s="190" t="str">
        <f>HYPERLINK("https://learn.flglobal.org/courses/NYCDOE-rtol-rapid-transition-to-online-learning-1","Join RTOL")</f>
        <v>Join RTOL</v>
      </c>
      <c r="J2" s="133" t="s">
        <v>116</v>
      </c>
      <c r="K2" s="130"/>
      <c r="L2" s="133" t="s">
        <v>278</v>
      </c>
      <c r="M2" s="69" t="str">
        <f>HYPERLINK("https://docs.google.com/document/d/1qDKHcd1eFN-KfOnjBTh8XRS2Tw3CUf1LfXSvC83eFOo/edit","RTOL Agenda")</f>
        <v>RTOL Agenda</v>
      </c>
      <c r="N2" s="192" t="s">
        <v>280</v>
      </c>
      <c r="O2" s="135" t="s">
        <v>281</v>
      </c>
      <c r="P2" s="148"/>
      <c r="Q2" s="193"/>
      <c r="R2" s="192" t="s">
        <v>280</v>
      </c>
    </row>
    <row r="3">
      <c r="A3" s="194"/>
      <c r="B3" s="195"/>
      <c r="C3" s="195"/>
      <c r="D3" s="196"/>
      <c r="E3" s="198"/>
      <c r="F3" s="199"/>
      <c r="G3" s="201"/>
      <c r="H3" s="32"/>
      <c r="I3" s="202"/>
      <c r="J3" s="203"/>
      <c r="K3" s="204"/>
      <c r="L3" s="203"/>
      <c r="M3" s="201"/>
      <c r="N3" s="205"/>
      <c r="O3" s="206"/>
      <c r="P3" s="207"/>
      <c r="Q3" s="208"/>
      <c r="R3" s="205"/>
    </row>
    <row r="4">
      <c r="A4" s="209"/>
      <c r="B4" s="186"/>
      <c r="C4" s="186"/>
      <c r="D4" s="187"/>
      <c r="E4" s="210">
        <v>43912.0</v>
      </c>
      <c r="F4" s="10" t="s">
        <v>283</v>
      </c>
      <c r="G4" s="58"/>
      <c r="H4" s="57" t="s">
        <v>284</v>
      </c>
      <c r="I4" s="212" t="s">
        <v>285</v>
      </c>
      <c r="J4" s="133" t="s">
        <v>290</v>
      </c>
      <c r="K4" s="130" t="s">
        <v>291</v>
      </c>
      <c r="L4" s="133"/>
      <c r="M4" s="58"/>
      <c r="N4" s="192"/>
      <c r="O4" s="135" t="s">
        <v>292</v>
      </c>
      <c r="P4" s="148"/>
      <c r="Q4" s="193"/>
      <c r="R4" s="192"/>
    </row>
    <row r="5" hidden="1">
      <c r="A5" s="214"/>
      <c r="B5" s="215"/>
      <c r="C5" s="215"/>
      <c r="D5" s="216"/>
      <c r="E5" s="217">
        <v>43910.0</v>
      </c>
      <c r="F5" s="218" t="s">
        <v>133</v>
      </c>
      <c r="G5" s="219"/>
      <c r="H5" s="220" t="s">
        <v>134</v>
      </c>
      <c r="I5" s="221" t="str">
        <f>HYPERLINK("https://meet.google.com/dxs-xcue-dif","Google Classroom Basics at 8 a.m.")</f>
        <v>Google Classroom Basics at 8 a.m.</v>
      </c>
      <c r="J5" s="215" t="s">
        <v>135</v>
      </c>
      <c r="K5" s="215"/>
      <c r="L5" s="220" t="s">
        <v>295</v>
      </c>
      <c r="M5" s="221" t="str">
        <f>HYPERLINK("https://drive.google.com/file/d/1KG1z4hYf_x4p8gnfJ8ASKfplbUI_j5gR/view?usp=sharing","Recorded Meet")</f>
        <v>Recorded Meet</v>
      </c>
      <c r="N5" s="222"/>
      <c r="O5" s="218" t="s">
        <v>138</v>
      </c>
      <c r="P5" s="218"/>
      <c r="Q5" s="223"/>
      <c r="R5" s="223"/>
    </row>
    <row r="6" hidden="1">
      <c r="A6" s="214"/>
      <c r="B6" s="215"/>
      <c r="C6" s="215"/>
      <c r="D6" s="216"/>
      <c r="E6" s="217">
        <v>43910.0</v>
      </c>
      <c r="F6" s="225" t="s">
        <v>140</v>
      </c>
      <c r="G6" s="226"/>
      <c r="H6" s="227" t="s">
        <v>141</v>
      </c>
      <c r="I6" s="228" t="str">
        <f>HYPERLINK("https://teams.microsoft.com/l/meetup-join/19%3ad8ff77c2e2d5476bbcde9fe502289901%40thread.skype/1584649665398?context=%7b%22Tid%22%3a%2218492cb7-ef45-4561-8571-0c42e5f7ac07%22%2c%22Oid%22%3a%2223887be3-a68f-4f4a-baba-98ea4e2f07bb%22%7d","Join the Team Chat")</f>
        <v>Join the Team Chat</v>
      </c>
      <c r="J6" s="215" t="s">
        <v>145</v>
      </c>
      <c r="K6" s="215"/>
      <c r="L6" s="220" t="s">
        <v>295</v>
      </c>
      <c r="M6" s="229"/>
      <c r="N6" s="230"/>
      <c r="O6" s="218" t="s">
        <v>148</v>
      </c>
      <c r="P6" s="218"/>
      <c r="Q6" s="223"/>
      <c r="R6" s="223"/>
    </row>
    <row r="7" hidden="1">
      <c r="A7" s="231"/>
      <c r="B7" s="232"/>
      <c r="C7" s="232"/>
      <c r="D7" s="233"/>
      <c r="E7" s="217">
        <v>43910.0</v>
      </c>
      <c r="F7" s="234" t="s">
        <v>150</v>
      </c>
      <c r="G7" s="235"/>
      <c r="H7" s="227" t="s">
        <v>43</v>
      </c>
      <c r="I7" s="236" t="s">
        <v>126</v>
      </c>
      <c r="J7" s="215" t="s">
        <v>52</v>
      </c>
      <c r="K7" s="215"/>
      <c r="L7" s="220"/>
      <c r="M7" s="235"/>
      <c r="N7" s="237"/>
      <c r="O7" s="234" t="s">
        <v>54</v>
      </c>
      <c r="P7" s="234"/>
      <c r="Q7" s="223"/>
      <c r="R7" s="223"/>
    </row>
    <row r="8" hidden="1">
      <c r="A8" s="231"/>
      <c r="B8" s="232"/>
      <c r="C8" s="232"/>
      <c r="D8" s="233"/>
      <c r="E8" s="217">
        <v>43910.0</v>
      </c>
      <c r="F8" s="238" t="s">
        <v>161</v>
      </c>
      <c r="G8" s="235"/>
      <c r="H8" s="227" t="s">
        <v>43</v>
      </c>
      <c r="I8" s="236" t="s">
        <v>126</v>
      </c>
      <c r="J8" s="215" t="s">
        <v>52</v>
      </c>
      <c r="K8" s="215"/>
      <c r="L8" s="220"/>
      <c r="M8" s="235"/>
      <c r="N8" s="237"/>
      <c r="O8" s="242" t="s">
        <v>61</v>
      </c>
      <c r="P8" s="242"/>
      <c r="Q8" s="223"/>
      <c r="R8" s="223"/>
    </row>
    <row r="9" hidden="1">
      <c r="A9" s="231"/>
      <c r="B9" s="232"/>
      <c r="C9" s="232"/>
      <c r="D9" s="233"/>
      <c r="E9" s="217">
        <v>43910.0</v>
      </c>
      <c r="F9" s="234" t="s">
        <v>169</v>
      </c>
      <c r="G9" s="235"/>
      <c r="H9" s="227" t="s">
        <v>170</v>
      </c>
      <c r="I9" s="243" t="str">
        <f>HYPERLINK("https://teams.microsoft.com/l/meetup-join/19%3ad8ff77c2e2d5476bbcde9fe502289901%40thread.skype/1584647363999?context=%7b%22Tid%22%3a%2218492cb7-ef45-4561-8571-0c42e5f7ac07%22%2c%22Oid%22%3a%2223887be3-a68f-4f4a-baba-98ea4e2f07bb%22%7d","Join and Ask Your ?s")</f>
        <v>Join and Ask Your ?s</v>
      </c>
      <c r="J9" s="215" t="s">
        <v>145</v>
      </c>
      <c r="K9" s="215"/>
      <c r="L9" s="220" t="s">
        <v>295</v>
      </c>
      <c r="M9" s="235"/>
      <c r="N9" s="237"/>
      <c r="O9" s="234" t="s">
        <v>171</v>
      </c>
      <c r="P9" s="234"/>
      <c r="Q9" s="223"/>
      <c r="R9" s="223"/>
    </row>
    <row r="10" ht="21.75" hidden="1" customHeight="1">
      <c r="A10" s="244"/>
      <c r="B10" s="245"/>
      <c r="C10" s="245"/>
      <c r="D10" s="246"/>
      <c r="E10" s="247">
        <v>43910.0</v>
      </c>
      <c r="F10" s="248" t="s">
        <v>125</v>
      </c>
      <c r="G10" s="249"/>
      <c r="H10" s="227" t="s">
        <v>174</v>
      </c>
      <c r="I10" s="236" t="s">
        <v>126</v>
      </c>
      <c r="J10" s="104" t="s">
        <v>178</v>
      </c>
      <c r="K10" s="104"/>
      <c r="L10" s="104" t="s">
        <v>318</v>
      </c>
      <c r="M10" s="249"/>
      <c r="N10" s="253"/>
      <c r="O10" s="104"/>
      <c r="P10" s="104"/>
      <c r="Q10" s="254"/>
      <c r="R10" s="253"/>
    </row>
    <row r="11" hidden="1">
      <c r="A11" s="214"/>
      <c r="B11" s="215"/>
      <c r="C11" s="215"/>
      <c r="D11" s="216"/>
      <c r="E11" s="217">
        <v>43910.0</v>
      </c>
      <c r="F11" s="225" t="s">
        <v>183</v>
      </c>
      <c r="G11" s="255"/>
      <c r="H11" s="220" t="s">
        <v>45</v>
      </c>
      <c r="I11" s="228" t="str">
        <f>HYPERLINK("https://teams.microsoft.com/l/meetup-join/19%3ad8ff77c2e2d5476bbcde9fe502289901%40thread.skype/1584647572156?context=%7b%22Tid%22%3a%2218492cb7-ef45-4561-8571-0c42e5f7ac07%22%2c%22Oid%22%3a%2223887be3-a68f-4f4a-baba-98ea4e2f07bb%22%7d","Join D75 Google")</f>
        <v>Join D75 Google</v>
      </c>
      <c r="J11" s="215" t="s">
        <v>145</v>
      </c>
      <c r="K11" s="215"/>
      <c r="L11" s="232" t="s">
        <v>295</v>
      </c>
      <c r="M11" s="228" t="str">
        <f>HYPERLINK("https://docs.google.com/document/d/1wLHYblRjULNftltkl45urB8CsTCOOHR7Gu477a7ssM4/edit?usp=sharing","D75 GSuite")</f>
        <v>D75 GSuite</v>
      </c>
      <c r="N11" s="230"/>
      <c r="O11" s="218" t="s">
        <v>190</v>
      </c>
      <c r="P11" s="218"/>
      <c r="Q11" s="223"/>
      <c r="R11" s="223"/>
    </row>
    <row r="12" hidden="1">
      <c r="A12" s="231"/>
      <c r="B12" s="232"/>
      <c r="C12" s="232"/>
      <c r="D12" s="233"/>
      <c r="E12" s="217">
        <v>43910.0</v>
      </c>
      <c r="F12" s="234" t="s">
        <v>191</v>
      </c>
      <c r="G12" s="235"/>
      <c r="H12" s="220" t="s">
        <v>192</v>
      </c>
      <c r="I12" s="235" t="s">
        <v>193</v>
      </c>
      <c r="J12" s="215" t="s">
        <v>145</v>
      </c>
      <c r="K12" s="215"/>
      <c r="L12" s="232" t="s">
        <v>318</v>
      </c>
      <c r="M12" s="243" t="str">
        <f>HYPERLINK("https://otis.teq.com/","Learn More")</f>
        <v>Learn More</v>
      </c>
      <c r="N12" s="237"/>
      <c r="O12" s="234" t="s">
        <v>194</v>
      </c>
      <c r="P12" s="234"/>
      <c r="Q12" s="223"/>
      <c r="R12" s="223"/>
    </row>
    <row r="13" hidden="1">
      <c r="A13" s="244"/>
      <c r="B13" s="245"/>
      <c r="C13" s="245"/>
      <c r="D13" s="246"/>
      <c r="E13" s="247">
        <v>43910.0</v>
      </c>
      <c r="F13" s="248" t="s">
        <v>55</v>
      </c>
      <c r="G13" s="249"/>
      <c r="H13" s="227" t="s">
        <v>195</v>
      </c>
      <c r="I13" s="236" t="s">
        <v>126</v>
      </c>
      <c r="J13" s="104" t="s">
        <v>178</v>
      </c>
      <c r="K13" s="104"/>
      <c r="L13" s="104" t="s">
        <v>323</v>
      </c>
      <c r="M13" s="249"/>
      <c r="N13" s="253"/>
      <c r="O13" s="104"/>
      <c r="P13" s="104"/>
      <c r="Q13" s="254"/>
      <c r="R13" s="253"/>
    </row>
    <row r="14" hidden="1">
      <c r="A14" s="231"/>
      <c r="B14" s="232"/>
      <c r="C14" s="232"/>
      <c r="D14" s="233"/>
      <c r="E14" s="217">
        <v>43910.0</v>
      </c>
      <c r="F14" s="234" t="s">
        <v>150</v>
      </c>
      <c r="G14" s="235"/>
      <c r="H14" s="227" t="s">
        <v>188</v>
      </c>
      <c r="I14" s="236" t="s">
        <v>126</v>
      </c>
      <c r="J14" s="215" t="s">
        <v>52</v>
      </c>
      <c r="K14" s="215"/>
      <c r="L14" s="220"/>
      <c r="M14" s="235"/>
      <c r="N14" s="237"/>
      <c r="O14" s="234" t="s">
        <v>54</v>
      </c>
      <c r="P14" s="234"/>
      <c r="Q14" s="223"/>
      <c r="R14" s="223"/>
    </row>
    <row r="15" hidden="1">
      <c r="A15" s="231"/>
      <c r="B15" s="232"/>
      <c r="C15" s="232"/>
      <c r="D15" s="233"/>
      <c r="E15" s="217">
        <v>43910.0</v>
      </c>
      <c r="F15" s="238" t="s">
        <v>161</v>
      </c>
      <c r="G15" s="235"/>
      <c r="H15" s="227" t="s">
        <v>188</v>
      </c>
      <c r="I15" s="236" t="s">
        <v>126</v>
      </c>
      <c r="J15" s="215" t="s">
        <v>52</v>
      </c>
      <c r="K15" s="215"/>
      <c r="L15" s="220"/>
      <c r="M15" s="235"/>
      <c r="N15" s="237"/>
      <c r="O15" s="242" t="s">
        <v>61</v>
      </c>
      <c r="P15" s="242"/>
      <c r="Q15" s="223"/>
      <c r="R15" s="223"/>
    </row>
    <row r="16" ht="29.25" hidden="1" customHeight="1">
      <c r="A16" s="231"/>
      <c r="B16" s="232"/>
      <c r="C16" s="232"/>
      <c r="D16" s="233"/>
      <c r="E16" s="217">
        <v>43910.0</v>
      </c>
      <c r="F16" s="218" t="s">
        <v>133</v>
      </c>
      <c r="G16" s="261"/>
      <c r="H16" s="232" t="s">
        <v>220</v>
      </c>
      <c r="I16" s="243" t="str">
        <f>HYPERLINK("https://meet.google.com/ddu-erzs-dmc","Google Classroom Basics 1 p.m.")</f>
        <v>Google Classroom Basics 1 p.m.</v>
      </c>
      <c r="J16" s="215" t="s">
        <v>135</v>
      </c>
      <c r="K16" s="215"/>
      <c r="L16" s="232" t="s">
        <v>295</v>
      </c>
      <c r="M16" s="264" t="str">
        <f>HYPERLINK("https://drive.google.com/file/d/1IJjpWCS5OEpaJoEKcf1PVX06B3LNTSIC/view?usp=sharing","Recorded Meet")</f>
        <v>Recorded Meet</v>
      </c>
      <c r="N16" s="265"/>
      <c r="O16" s="218" t="s">
        <v>138</v>
      </c>
      <c r="P16" s="218"/>
      <c r="Q16" s="223"/>
      <c r="R16" s="223"/>
    </row>
    <row r="17" hidden="1">
      <c r="A17" s="214"/>
      <c r="B17" s="215"/>
      <c r="C17" s="215"/>
      <c r="D17" s="216"/>
      <c r="E17" s="217">
        <v>43910.0</v>
      </c>
      <c r="F17" s="225" t="s">
        <v>227</v>
      </c>
      <c r="G17" s="255"/>
      <c r="H17" s="220" t="s">
        <v>188</v>
      </c>
      <c r="I17" s="228" t="str">
        <f>HYPERLINK("https://us04web.zoom.us/j/120729286","Join Zoom 1pm")</f>
        <v>Join Zoom 1pm</v>
      </c>
      <c r="J17" s="215" t="s">
        <v>145</v>
      </c>
      <c r="K17" s="215"/>
      <c r="L17" s="232" t="s">
        <v>295</v>
      </c>
      <c r="M17" s="228"/>
      <c r="N17" s="230"/>
      <c r="O17" s="218" t="s">
        <v>228</v>
      </c>
      <c r="P17" s="218"/>
      <c r="Q17" s="223"/>
      <c r="R17" s="223"/>
    </row>
    <row r="18" hidden="1">
      <c r="A18" s="244"/>
      <c r="B18" s="245"/>
      <c r="C18" s="245"/>
      <c r="D18" s="246"/>
      <c r="E18" s="247">
        <v>43910.0</v>
      </c>
      <c r="F18" s="248" t="s">
        <v>125</v>
      </c>
      <c r="G18" s="249"/>
      <c r="H18" s="227" t="s">
        <v>229</v>
      </c>
      <c r="I18" s="236" t="s">
        <v>126</v>
      </c>
      <c r="J18" s="104" t="s">
        <v>178</v>
      </c>
      <c r="K18" s="104"/>
      <c r="L18" s="104" t="s">
        <v>318</v>
      </c>
      <c r="M18" s="249"/>
      <c r="N18" s="253"/>
      <c r="O18" s="104"/>
      <c r="P18" s="104"/>
      <c r="Q18" s="254"/>
      <c r="R18" s="253"/>
    </row>
    <row r="19" hidden="1">
      <c r="A19" s="231"/>
      <c r="B19" s="232"/>
      <c r="C19" s="232"/>
      <c r="D19" s="233"/>
      <c r="E19" s="217">
        <v>43910.0</v>
      </c>
      <c r="F19" s="234" t="s">
        <v>119</v>
      </c>
      <c r="G19" s="235"/>
      <c r="H19" s="220" t="s">
        <v>236</v>
      </c>
      <c r="I19" s="243" t="str">
        <f>HYPERLINK("https://teams.microsoft.com/l/meetup-join/19%3ad8ff77c2e2d5476bbcde9fe502289901%40thread.skype/1584648194248?context=%7b%22Tid%22%3a%2218492cb7-ef45-4561-8571-0c42e5f7ac07%22%2c%22Oid%22%3a%2223887be3-a68f-4f4a-baba-98ea4e2f07bb%22%7d","Join the Flipgrid Fever")</f>
        <v>Join the Flipgrid Fever</v>
      </c>
      <c r="J19" s="215" t="s">
        <v>145</v>
      </c>
      <c r="K19" s="215"/>
      <c r="L19" s="232" t="s">
        <v>295</v>
      </c>
      <c r="M19" s="243" t="str">
        <f>HYPERLINK("http://bit.ly/FlipgridFeverAgenda","Flipgrid Agenda")</f>
        <v>Flipgrid Agenda</v>
      </c>
      <c r="N19" s="237"/>
      <c r="O19" s="234" t="s">
        <v>239</v>
      </c>
      <c r="P19" s="234"/>
      <c r="Q19" s="223"/>
      <c r="R19" s="223"/>
    </row>
    <row r="20" hidden="1">
      <c r="A20" s="214"/>
      <c r="B20" s="215"/>
      <c r="C20" s="215"/>
      <c r="D20" s="216"/>
      <c r="E20" s="217">
        <v>43910.0</v>
      </c>
      <c r="F20" s="218" t="s">
        <v>240</v>
      </c>
      <c r="G20" s="255"/>
      <c r="H20" s="268" t="s">
        <v>242</v>
      </c>
      <c r="I20" s="228" t="str">
        <f>HYPERLINK("https://meet.google.com/vjh-sdvq-keu","Google Chrome Extensions 2:30 p.m.")</f>
        <v>Google Chrome Extensions 2:30 p.m.</v>
      </c>
      <c r="J20" s="269" t="s">
        <v>135</v>
      </c>
      <c r="K20" s="269"/>
      <c r="L20" s="220" t="s">
        <v>295</v>
      </c>
      <c r="M20" s="228" t="str">
        <f>HYPERLINK("https://drive.google.com/file/d/1sRj7EnBl7du6LIXHHfgQ4FgQOR6E_Ybv/view?usp=sharing","Recorded Meet")</f>
        <v>Recorded Meet</v>
      </c>
      <c r="N20" s="230"/>
      <c r="O20" s="268" t="s">
        <v>244</v>
      </c>
      <c r="P20" s="268"/>
      <c r="Q20" s="223"/>
      <c r="R20" s="223"/>
    </row>
    <row r="21" hidden="1">
      <c r="A21" s="244"/>
      <c r="B21" s="245"/>
      <c r="C21" s="245"/>
      <c r="D21" s="246"/>
      <c r="E21" s="247">
        <v>43910.0</v>
      </c>
      <c r="F21" s="248" t="s">
        <v>245</v>
      </c>
      <c r="G21" s="249"/>
      <c r="H21" s="227" t="s">
        <v>246</v>
      </c>
      <c r="I21" s="236" t="s">
        <v>126</v>
      </c>
      <c r="J21" s="104" t="s">
        <v>178</v>
      </c>
      <c r="K21" s="104"/>
      <c r="L21" s="104" t="s">
        <v>323</v>
      </c>
      <c r="M21" s="249"/>
      <c r="N21" s="253"/>
      <c r="O21" s="104" t="s">
        <v>252</v>
      </c>
      <c r="P21" s="104"/>
      <c r="Q21" s="254"/>
      <c r="R21" s="253"/>
    </row>
    <row r="22" ht="19.5" hidden="1" customHeight="1">
      <c r="A22" s="231"/>
      <c r="B22" s="232"/>
      <c r="C22" s="232"/>
      <c r="D22" s="233"/>
      <c r="E22" s="217">
        <v>43910.0</v>
      </c>
      <c r="F22" s="234" t="s">
        <v>150</v>
      </c>
      <c r="G22" s="235"/>
      <c r="H22" s="227" t="s">
        <v>250</v>
      </c>
      <c r="I22" s="236" t="s">
        <v>126</v>
      </c>
      <c r="J22" s="215" t="s">
        <v>52</v>
      </c>
      <c r="K22" s="215"/>
      <c r="L22" s="220"/>
      <c r="M22" s="235"/>
      <c r="N22" s="237"/>
      <c r="O22" s="234" t="s">
        <v>54</v>
      </c>
      <c r="P22" s="234"/>
      <c r="Q22" s="223"/>
      <c r="R22" s="223"/>
    </row>
    <row r="23" hidden="1">
      <c r="A23" s="231"/>
      <c r="B23" s="232"/>
      <c r="C23" s="232"/>
      <c r="D23" s="233"/>
      <c r="E23" s="217">
        <v>43910.0</v>
      </c>
      <c r="F23" s="238" t="s">
        <v>161</v>
      </c>
      <c r="G23" s="235"/>
      <c r="H23" s="227" t="s">
        <v>250</v>
      </c>
      <c r="I23" s="236" t="s">
        <v>126</v>
      </c>
      <c r="J23" s="215" t="s">
        <v>52</v>
      </c>
      <c r="K23" s="215"/>
      <c r="L23" s="220"/>
      <c r="M23" s="235"/>
      <c r="N23" s="237"/>
      <c r="O23" s="242" t="s">
        <v>61</v>
      </c>
      <c r="P23" s="242"/>
      <c r="Q23" s="223"/>
      <c r="R23" s="223"/>
    </row>
    <row r="24" ht="19.5" hidden="1" customHeight="1">
      <c r="A24" s="231"/>
      <c r="B24" s="232"/>
      <c r="C24" s="232"/>
      <c r="D24" s="233"/>
      <c r="E24" s="217">
        <v>43910.0</v>
      </c>
      <c r="F24" s="234" t="s">
        <v>125</v>
      </c>
      <c r="G24" s="235"/>
      <c r="H24" s="227" t="s">
        <v>262</v>
      </c>
      <c r="I24" s="285" t="s">
        <v>126</v>
      </c>
      <c r="J24" s="215" t="s">
        <v>264</v>
      </c>
      <c r="K24" s="215"/>
      <c r="L24" s="220"/>
      <c r="M24" s="243" t="str">
        <f>HYPERLINK("https://docs.google.com/document/d/1vDJ1ESBrN-Wea1cAwLeMDmJHHnLvqXSPhjrECrwqxKE/edit#","Classroom Agenda")</f>
        <v>Classroom Agenda</v>
      </c>
      <c r="N24" s="237"/>
      <c r="O24" s="234"/>
      <c r="P24" s="234"/>
      <c r="Q24" s="223"/>
      <c r="R24" s="223"/>
    </row>
    <row r="25" ht="18.0" customHeight="1">
      <c r="A25" s="290"/>
      <c r="B25" s="291"/>
      <c r="C25" s="291"/>
      <c r="D25" s="292"/>
      <c r="E25" s="293">
        <v>43913.0</v>
      </c>
      <c r="F25" s="76" t="s">
        <v>271</v>
      </c>
      <c r="G25" s="54"/>
      <c r="H25" s="59" t="s">
        <v>43</v>
      </c>
      <c r="I25" s="116" t="s">
        <v>126</v>
      </c>
      <c r="J25" s="81" t="s">
        <v>272</v>
      </c>
      <c r="K25" s="67" t="s">
        <v>60</v>
      </c>
      <c r="L25" s="81"/>
      <c r="M25" s="54"/>
      <c r="N25" s="44"/>
      <c r="O25" s="76" t="s">
        <v>54</v>
      </c>
      <c r="P25" s="148"/>
      <c r="Q25" s="295"/>
      <c r="R25" s="295"/>
    </row>
    <row r="26">
      <c r="A26" s="290"/>
      <c r="B26" s="291"/>
      <c r="C26" s="291"/>
      <c r="D26" s="292"/>
      <c r="E26" s="293">
        <v>43913.0</v>
      </c>
      <c r="F26" s="76" t="s">
        <v>161</v>
      </c>
      <c r="G26" s="54"/>
      <c r="H26" s="59" t="s">
        <v>43</v>
      </c>
      <c r="I26" s="116" t="s">
        <v>126</v>
      </c>
      <c r="J26" s="81" t="s">
        <v>277</v>
      </c>
      <c r="K26" s="67" t="s">
        <v>375</v>
      </c>
      <c r="L26" s="81"/>
      <c r="M26" s="54"/>
      <c r="N26" s="44"/>
      <c r="O26" s="127" t="s">
        <v>61</v>
      </c>
      <c r="P26" s="148"/>
      <c r="Q26" s="295"/>
      <c r="R26" s="295"/>
    </row>
    <row r="27">
      <c r="A27" s="300">
        <v>43913.0</v>
      </c>
      <c r="B27" s="291" t="s">
        <v>279</v>
      </c>
      <c r="C27" s="291" t="s">
        <v>66</v>
      </c>
      <c r="D27" s="292"/>
      <c r="E27" s="293">
        <v>43913.0</v>
      </c>
      <c r="F27" s="76" t="s">
        <v>279</v>
      </c>
      <c r="G27" s="54" t="s">
        <v>66</v>
      </c>
      <c r="H27" s="59" t="s">
        <v>66</v>
      </c>
      <c r="I27" s="164" t="str">
        <f>HYPERLINK("https://teams.microsoft.com/l/meetup-join/19%3ad8ff77c2e2d5476bbcde9fe502289901%40thread.skype/1584904522677?context=%7b%22Tid%22%3a%2218492cb7-ef45-4561-8571-0c42e5f7ac07%22%2c%22Oid%22%3a%2223887be3-a68f-4f4a-baba-98ea4e2f07bb%22%7d","Join Microsoft Team Meeting")</f>
        <v>Join Microsoft Team Meeting</v>
      </c>
      <c r="J27" s="301" t="str">
        <f t="shared" ref="J27:K27" si="1">HYPERLINK("https://d75stem.d75edu.com/","D75 STEM Team")</f>
        <v>D75 STEM Team</v>
      </c>
      <c r="K27" s="302" t="str">
        <f t="shared" si="1"/>
        <v>D75 STEM Team</v>
      </c>
      <c r="L27" s="81"/>
      <c r="M27" s="140" t="s">
        <v>282</v>
      </c>
      <c r="N27" s="44"/>
      <c r="O27" s="186" t="s">
        <v>99</v>
      </c>
      <c r="P27" s="127"/>
      <c r="Q27" s="295"/>
      <c r="R27" s="295"/>
    </row>
    <row r="28">
      <c r="A28" s="290"/>
      <c r="B28" s="291"/>
      <c r="C28" s="291"/>
      <c r="D28" s="292"/>
      <c r="E28" s="293">
        <v>43913.0</v>
      </c>
      <c r="F28" s="76" t="s">
        <v>125</v>
      </c>
      <c r="G28" s="54"/>
      <c r="H28" s="59" t="s">
        <v>45</v>
      </c>
      <c r="I28" s="164" t="str">
        <f>HYPERLINK("https://meet.google.com/bec-bhks-kuw","Join Google Meet")</f>
        <v>Join Google Meet</v>
      </c>
      <c r="J28" s="81" t="s">
        <v>286</v>
      </c>
      <c r="K28" s="303" t="s">
        <v>287</v>
      </c>
      <c r="L28" s="81"/>
      <c r="M28" s="80" t="str">
        <f>HYPERLINK("https://docs.google.com/document/d/1vDJ1ESBrN-Wea1cAwLeMDmJHHnLvqXSPhjrECrwqxKE/edit?usp=sharing","Google Demo Agenda")</f>
        <v>Google Demo Agenda</v>
      </c>
      <c r="N28" s="44"/>
      <c r="O28" s="127"/>
      <c r="P28" s="148"/>
      <c r="Q28" s="295"/>
      <c r="R28" s="295"/>
    </row>
    <row r="29">
      <c r="A29" s="300">
        <v>43913.0</v>
      </c>
      <c r="B29" s="291" t="s">
        <v>294</v>
      </c>
      <c r="C29" s="291" t="s">
        <v>113</v>
      </c>
      <c r="D29" s="292"/>
      <c r="E29" s="293">
        <v>43913.0</v>
      </c>
      <c r="F29" s="76" t="s">
        <v>294</v>
      </c>
      <c r="G29" s="54" t="s">
        <v>113</v>
      </c>
      <c r="H29" s="59" t="s">
        <v>113</v>
      </c>
      <c r="I29" s="164" t="str">
        <f>HYPERLINK("https://teams.microsoft.com/l/meetup-join/19%3ad8ff77c2e2d5476bbcde9fe502289901%40thread.skype/1584904794535?context=%7b%22Tid%22%3a%2218492cb7-ef45-4561-8571-0c42e5f7ac07%22%2c%22Oid%22%3a%2223887be3-a68f-4f4a-baba-98ea4e2f07bb%22%7d","Join Microsoft Teams Meeting")</f>
        <v>Join Microsoft Teams Meeting</v>
      </c>
      <c r="J29" s="301" t="str">
        <f>HYPERLINK("https://otis.teq.com/","TEQ")</f>
        <v>TEQ</v>
      </c>
      <c r="K29" s="302" t="str">
        <f>HYPERLINK("https://d75stem.d75edu.com/","D75 STEM Team")</f>
        <v>D75 STEM Team</v>
      </c>
      <c r="L29" s="81"/>
      <c r="M29" s="140" t="s">
        <v>296</v>
      </c>
      <c r="N29" s="44"/>
      <c r="O29" s="186" t="s">
        <v>299</v>
      </c>
      <c r="P29" s="127"/>
      <c r="Q29" s="295"/>
      <c r="R29" s="295"/>
    </row>
    <row r="30">
      <c r="A30" s="300">
        <v>43913.0</v>
      </c>
      <c r="B30" s="291" t="s">
        <v>279</v>
      </c>
      <c r="C30" s="291" t="s">
        <v>300</v>
      </c>
      <c r="D30" s="292"/>
      <c r="E30" s="293">
        <v>43913.0</v>
      </c>
      <c r="F30" s="76" t="s">
        <v>279</v>
      </c>
      <c r="G30" s="54" t="s">
        <v>300</v>
      </c>
      <c r="H30" s="59" t="s">
        <v>300</v>
      </c>
      <c r="I30" s="164" t="str">
        <f>HYPERLINK("https://teams.microsoft.com/l/meetup-join/19%3ad8ff77c2e2d5476bbcde9fe502289901%40thread.skype/1584905036156?context=%7b%22Tid%22%3a%2218492cb7-ef45-4561-8571-0c42e5f7ac07%22%2c%22Oid%22%3a%2223887be3-a68f-4f4a-baba-98ea4e2f07bb%22%7d","Join Microsoft Teams Meeting")</f>
        <v>Join Microsoft Teams Meeting</v>
      </c>
      <c r="J30" s="301" t="str">
        <f t="shared" ref="J30:K30" si="2">HYPERLINK("https://d75stem.d75edu.com/","D75 STEM Team")</f>
        <v>D75 STEM Team</v>
      </c>
      <c r="K30" s="302" t="str">
        <f t="shared" si="2"/>
        <v>D75 STEM Team</v>
      </c>
      <c r="L30" s="81"/>
      <c r="M30" s="140" t="s">
        <v>282</v>
      </c>
      <c r="N30" s="44"/>
      <c r="O30" s="186" t="s">
        <v>99</v>
      </c>
      <c r="P30" s="127"/>
      <c r="Q30" s="295"/>
      <c r="R30" s="295"/>
    </row>
    <row r="31">
      <c r="A31" s="290"/>
      <c r="B31" s="291"/>
      <c r="C31" s="291"/>
      <c r="D31" s="292"/>
      <c r="E31" s="293">
        <v>43913.0</v>
      </c>
      <c r="F31" s="76" t="s">
        <v>125</v>
      </c>
      <c r="G31" s="54"/>
      <c r="H31" s="59" t="s">
        <v>105</v>
      </c>
      <c r="I31" s="107" t="s">
        <v>126</v>
      </c>
      <c r="J31" s="81" t="s">
        <v>307</v>
      </c>
      <c r="K31" s="67" t="s">
        <v>397</v>
      </c>
      <c r="L31" s="81"/>
      <c r="M31" s="80" t="str">
        <f>HYPERLINK("https://docs.google.com/document/d/1vDJ1ESBrN-Wea1cAwLeMDmJHHnLvqXSPhjrECrwqxKE/edit?usp=sharing","Google Demo Agenda")</f>
        <v>Google Demo Agenda</v>
      </c>
      <c r="N31" s="44"/>
      <c r="O31" s="218" t="s">
        <v>138</v>
      </c>
      <c r="P31" s="148"/>
      <c r="Q31" s="295"/>
      <c r="R31" s="295"/>
    </row>
    <row r="32">
      <c r="A32" s="300">
        <v>43913.0</v>
      </c>
      <c r="B32" s="291" t="s">
        <v>279</v>
      </c>
      <c r="C32" s="291" t="s">
        <v>311</v>
      </c>
      <c r="D32" s="292"/>
      <c r="E32" s="293">
        <v>43913.0</v>
      </c>
      <c r="F32" s="76" t="s">
        <v>279</v>
      </c>
      <c r="G32" s="54" t="s">
        <v>311</v>
      </c>
      <c r="H32" s="59" t="s">
        <v>311</v>
      </c>
      <c r="I32" s="164" t="str">
        <f>HYPERLINK("https://teams.microsoft.com/l/meetup-join/19%3ad8ff77c2e2d5476bbcde9fe502289901%40thread.skype/1584905434771?context=%7b%22Tid%22%3a%2218492cb7-ef45-4561-8571-0c42e5f7ac07%22%2c%22Oid%22%3a%2223887be3-a68f-4f4a-baba-98ea4e2f07bb%22%7d","Join Microsft Team Meeting")</f>
        <v>Join Microsft Team Meeting</v>
      </c>
      <c r="J32" s="301" t="str">
        <f t="shared" ref="J32:K32" si="3">HYPERLINK("https://d75stem.d75edu.com/","D75 STEM Team")</f>
        <v>D75 STEM Team</v>
      </c>
      <c r="K32" s="302" t="str">
        <f t="shared" si="3"/>
        <v>D75 STEM Team</v>
      </c>
      <c r="L32" s="81"/>
      <c r="M32" s="140" t="s">
        <v>282</v>
      </c>
      <c r="N32" s="44"/>
      <c r="O32" s="186" t="s">
        <v>99</v>
      </c>
      <c r="P32" s="127"/>
      <c r="Q32" s="295"/>
      <c r="R32" s="295"/>
    </row>
    <row r="33" ht="18.75" customHeight="1">
      <c r="A33" s="290"/>
      <c r="B33" s="291"/>
      <c r="C33" s="291"/>
      <c r="D33" s="292"/>
      <c r="E33" s="293">
        <v>43913.0</v>
      </c>
      <c r="F33" s="76" t="s">
        <v>271</v>
      </c>
      <c r="G33" s="54"/>
      <c r="H33" s="59" t="s">
        <v>188</v>
      </c>
      <c r="I33" s="116" t="s">
        <v>126</v>
      </c>
      <c r="J33" s="81" t="s">
        <v>52</v>
      </c>
      <c r="K33" s="67" t="s">
        <v>433</v>
      </c>
      <c r="L33" s="81"/>
      <c r="M33" s="54"/>
      <c r="N33" s="44"/>
      <c r="O33" s="76" t="s">
        <v>54</v>
      </c>
      <c r="P33" s="148"/>
      <c r="Q33" s="295"/>
      <c r="R33" s="295"/>
    </row>
    <row r="34">
      <c r="A34" s="290"/>
      <c r="B34" s="291"/>
      <c r="C34" s="291"/>
      <c r="D34" s="292"/>
      <c r="E34" s="293">
        <v>43913.0</v>
      </c>
      <c r="F34" s="76" t="s">
        <v>161</v>
      </c>
      <c r="G34" s="54"/>
      <c r="H34" s="59" t="s">
        <v>188</v>
      </c>
      <c r="I34" s="116" t="s">
        <v>126</v>
      </c>
      <c r="J34" s="81" t="s">
        <v>52</v>
      </c>
      <c r="K34" s="67" t="s">
        <v>433</v>
      </c>
      <c r="L34" s="81"/>
      <c r="M34" s="54"/>
      <c r="N34" s="44"/>
      <c r="O34" s="127" t="s">
        <v>61</v>
      </c>
      <c r="P34" s="148"/>
      <c r="Q34" s="295"/>
      <c r="R34" s="295"/>
    </row>
    <row r="35" ht="29.25" customHeight="1">
      <c r="A35" s="290"/>
      <c r="B35" s="291"/>
      <c r="C35" s="291"/>
      <c r="D35" s="292"/>
      <c r="E35" s="293">
        <v>43913.0</v>
      </c>
      <c r="F35" s="76" t="s">
        <v>133</v>
      </c>
      <c r="G35" s="152"/>
      <c r="H35" s="44" t="s">
        <v>220</v>
      </c>
      <c r="I35" s="80" t="str">
        <f>HYPERLINK("https://meet.google.com/guc-txrv-fep","Google Classroom Basics 1 p.m.")</f>
        <v>Google Classroom Basics 1 p.m.</v>
      </c>
      <c r="J35" s="81" t="s">
        <v>286</v>
      </c>
      <c r="K35" s="67" t="s">
        <v>458</v>
      </c>
      <c r="L35" s="44" t="s">
        <v>295</v>
      </c>
      <c r="M35" s="80" t="str">
        <f>HYPERLINK("https://docs.google.com/document/d/1vDJ1ESBrN-Wea1cAwLeMDmJHHnLvqXSPhjrECrwqxKE/edit?usp=sharing","Google Demo Agenda")</f>
        <v>Google Demo Agenda</v>
      </c>
      <c r="N35" s="340"/>
      <c r="O35" s="341" t="s">
        <v>138</v>
      </c>
      <c r="P35" s="148"/>
      <c r="Q35" s="295"/>
      <c r="R35" s="295"/>
    </row>
    <row r="36">
      <c r="A36" s="300">
        <v>43913.0</v>
      </c>
      <c r="B36" s="291" t="s">
        <v>319</v>
      </c>
      <c r="C36" s="291" t="s">
        <v>320</v>
      </c>
      <c r="D36" s="292"/>
      <c r="E36" s="293">
        <v>43913.0</v>
      </c>
      <c r="F36" s="76" t="s">
        <v>319</v>
      </c>
      <c r="G36" s="54" t="s">
        <v>320</v>
      </c>
      <c r="H36" s="59" t="s">
        <v>320</v>
      </c>
      <c r="I36" s="342" t="str">
        <f>HYPERLINK(" https://us04web.zoom.us/j/662487347","Join Zoom Meeting")</f>
        <v>Join Zoom Meeting</v>
      </c>
      <c r="J36" s="301" t="str">
        <f>HYPERLINK("https://d75stem.d75edu.com/","D75 STEM Team")</f>
        <v>D75 STEM Team</v>
      </c>
      <c r="K36" s="302" t="str">
        <f>HYPERLINK("https://twitter.com/seanmarnold","Sean Arnold")</f>
        <v>Sean Arnold</v>
      </c>
      <c r="L36" s="81"/>
      <c r="M36" s="140" t="s">
        <v>463</v>
      </c>
      <c r="N36" s="44"/>
      <c r="O36" s="186" t="s">
        <v>321</v>
      </c>
      <c r="P36" s="127"/>
      <c r="Q36" s="295"/>
      <c r="R36" s="295"/>
    </row>
    <row r="37" ht="19.5" customHeight="1">
      <c r="A37" s="290"/>
      <c r="B37" s="291"/>
      <c r="C37" s="291"/>
      <c r="D37" s="292"/>
      <c r="E37" s="293">
        <v>43913.0</v>
      </c>
      <c r="F37" s="76" t="s">
        <v>150</v>
      </c>
      <c r="G37" s="54"/>
      <c r="H37" s="59" t="s">
        <v>250</v>
      </c>
      <c r="I37" s="116" t="s">
        <v>126</v>
      </c>
      <c r="J37" s="81" t="s">
        <v>272</v>
      </c>
      <c r="K37" s="67" t="s">
        <v>433</v>
      </c>
      <c r="L37" s="81"/>
      <c r="M37" s="54"/>
      <c r="N37" s="44"/>
      <c r="O37" s="76" t="s">
        <v>54</v>
      </c>
      <c r="P37" s="148"/>
      <c r="Q37" s="295"/>
      <c r="R37" s="295"/>
    </row>
    <row r="38">
      <c r="A38" s="290"/>
      <c r="B38" s="291"/>
      <c r="C38" s="291"/>
      <c r="D38" s="292"/>
      <c r="E38" s="293">
        <v>43913.0</v>
      </c>
      <c r="F38" s="76" t="s">
        <v>161</v>
      </c>
      <c r="G38" s="54"/>
      <c r="H38" s="59" t="s">
        <v>250</v>
      </c>
      <c r="I38" s="116" t="s">
        <v>126</v>
      </c>
      <c r="J38" s="81" t="s">
        <v>52</v>
      </c>
      <c r="K38" s="67" t="s">
        <v>486</v>
      </c>
      <c r="L38" s="81"/>
      <c r="M38" s="54"/>
      <c r="N38" s="44"/>
      <c r="O38" s="127" t="s">
        <v>61</v>
      </c>
      <c r="P38" s="148"/>
      <c r="Q38" s="295"/>
      <c r="R38" s="295"/>
    </row>
    <row r="39">
      <c r="A39" s="290"/>
      <c r="B39" s="291"/>
      <c r="C39" s="291"/>
      <c r="D39" s="292"/>
      <c r="E39" s="293">
        <v>43913.0</v>
      </c>
      <c r="F39" s="76" t="s">
        <v>125</v>
      </c>
      <c r="G39" s="54"/>
      <c r="H39" s="59" t="s">
        <v>68</v>
      </c>
      <c r="I39" s="107" t="s">
        <v>126</v>
      </c>
      <c r="J39" s="81" t="s">
        <v>137</v>
      </c>
      <c r="K39" s="348" t="s">
        <v>487</v>
      </c>
      <c r="L39" s="81"/>
      <c r="M39" s="80" t="str">
        <f t="shared" ref="M39:M40" si="4">HYPERLINK("https://docs.google.com/document/d/1vDJ1ESBrN-Wea1cAwLeMDmJHHnLvqXSPhjrECrwqxKE/edit?usp=sharing","Google Demo Agenda")</f>
        <v>Google Demo Agenda</v>
      </c>
      <c r="N39" s="44"/>
      <c r="O39" s="127"/>
      <c r="P39" s="127"/>
      <c r="Q39" s="295"/>
      <c r="R39" s="295"/>
    </row>
    <row r="40">
      <c r="A40" s="290"/>
      <c r="B40" s="291"/>
      <c r="C40" s="291"/>
      <c r="D40" s="292"/>
      <c r="E40" s="293">
        <v>43913.0</v>
      </c>
      <c r="F40" s="76" t="s">
        <v>255</v>
      </c>
      <c r="G40" s="54"/>
      <c r="H40" s="59" t="s">
        <v>256</v>
      </c>
      <c r="I40" s="107" t="s">
        <v>126</v>
      </c>
      <c r="J40" s="350" t="s">
        <v>326</v>
      </c>
      <c r="K40" s="348" t="s">
        <v>287</v>
      </c>
      <c r="L40" s="81"/>
      <c r="M40" s="80" t="str">
        <f t="shared" si="4"/>
        <v>Google Demo Agenda</v>
      </c>
      <c r="N40" s="44"/>
      <c r="O40" s="127"/>
      <c r="P40" s="127"/>
      <c r="Q40" s="295"/>
      <c r="R40" s="295"/>
    </row>
    <row r="41">
      <c r="A41" s="351"/>
      <c r="B41" s="291"/>
      <c r="C41" s="291"/>
      <c r="D41" s="292"/>
      <c r="E41" s="293">
        <v>43913.0</v>
      </c>
      <c r="F41" s="76" t="s">
        <v>327</v>
      </c>
      <c r="G41" s="54"/>
      <c r="H41" s="57" t="s">
        <v>328</v>
      </c>
      <c r="I41" s="162" t="s">
        <v>329</v>
      </c>
      <c r="J41" s="352"/>
      <c r="K41" s="348" t="s">
        <v>291</v>
      </c>
      <c r="L41" s="81"/>
      <c r="M41" s="54"/>
      <c r="N41" s="44"/>
      <c r="O41" s="186" t="s">
        <v>330</v>
      </c>
      <c r="P41" s="186"/>
      <c r="Q41" s="295"/>
      <c r="R41" s="295"/>
    </row>
    <row r="42">
      <c r="A42" s="354"/>
      <c r="B42" s="355"/>
      <c r="C42" s="355"/>
      <c r="D42" s="356"/>
      <c r="E42" s="174"/>
      <c r="F42" s="306"/>
      <c r="G42" s="31"/>
      <c r="H42" s="32"/>
      <c r="I42" s="175"/>
      <c r="J42" s="357"/>
      <c r="K42" s="358"/>
      <c r="L42" s="359"/>
      <c r="M42" s="360"/>
      <c r="N42" s="44"/>
      <c r="O42" s="181"/>
      <c r="P42" s="195"/>
      <c r="Q42" s="361"/>
      <c r="R42" s="361"/>
    </row>
    <row r="43" ht="21.0" customHeight="1">
      <c r="A43" s="290"/>
      <c r="B43" s="291"/>
      <c r="C43" s="291"/>
      <c r="D43" s="292"/>
      <c r="E43" s="293">
        <v>43914.0</v>
      </c>
      <c r="F43" s="76" t="s">
        <v>333</v>
      </c>
      <c r="G43" s="54"/>
      <c r="H43" s="59" t="s">
        <v>43</v>
      </c>
      <c r="I43" s="116" t="s">
        <v>126</v>
      </c>
      <c r="J43" s="81" t="s">
        <v>52</v>
      </c>
      <c r="K43" s="67" t="s">
        <v>433</v>
      </c>
      <c r="L43" s="81"/>
      <c r="M43" s="54"/>
      <c r="N43" s="44"/>
      <c r="O43" s="76" t="s">
        <v>54</v>
      </c>
      <c r="P43" s="76"/>
      <c r="Q43" s="295"/>
      <c r="R43" s="295"/>
    </row>
    <row r="44">
      <c r="A44" s="290"/>
      <c r="B44" s="291"/>
      <c r="C44" s="291"/>
      <c r="D44" s="292"/>
      <c r="E44" s="293">
        <v>43914.0</v>
      </c>
      <c r="F44" s="76" t="s">
        <v>161</v>
      </c>
      <c r="G44" s="54"/>
      <c r="H44" s="59" t="s">
        <v>43</v>
      </c>
      <c r="I44" s="116" t="s">
        <v>126</v>
      </c>
      <c r="J44" s="81" t="s">
        <v>52</v>
      </c>
      <c r="K44" s="67"/>
      <c r="L44" s="81"/>
      <c r="M44" s="54"/>
      <c r="N44" s="44"/>
      <c r="O44" s="127" t="s">
        <v>61</v>
      </c>
      <c r="P44" s="127"/>
      <c r="Q44" s="295"/>
      <c r="R44" s="295"/>
    </row>
    <row r="45">
      <c r="A45" s="290"/>
      <c r="B45" s="291"/>
      <c r="C45" s="291"/>
      <c r="D45" s="292"/>
      <c r="E45" s="293">
        <v>43914.0</v>
      </c>
      <c r="F45" s="76" t="s">
        <v>279</v>
      </c>
      <c r="G45" s="54" t="s">
        <v>66</v>
      </c>
      <c r="H45" s="59" t="s">
        <v>66</v>
      </c>
      <c r="I45" s="140" t="s">
        <v>69</v>
      </c>
      <c r="J45" s="384" t="s">
        <v>80</v>
      </c>
      <c r="K45" s="388" t="s">
        <v>80</v>
      </c>
      <c r="L45" s="81"/>
      <c r="M45" s="390" t="s">
        <v>282</v>
      </c>
      <c r="N45" s="44"/>
      <c r="O45" s="127" t="s">
        <v>99</v>
      </c>
      <c r="P45" s="127"/>
      <c r="Q45" s="295"/>
      <c r="R45" s="295"/>
    </row>
    <row r="46">
      <c r="A46" s="290"/>
      <c r="B46" s="291"/>
      <c r="C46" s="291"/>
      <c r="D46" s="292"/>
      <c r="E46" s="293">
        <v>43914.0</v>
      </c>
      <c r="F46" s="76" t="s">
        <v>336</v>
      </c>
      <c r="G46" s="54" t="s">
        <v>149</v>
      </c>
      <c r="H46" s="59" t="s">
        <v>149</v>
      </c>
      <c r="I46" s="140" t="s">
        <v>216</v>
      </c>
      <c r="J46" s="384" t="s">
        <v>80</v>
      </c>
      <c r="K46" s="388" t="s">
        <v>71</v>
      </c>
      <c r="L46" s="81"/>
      <c r="M46" s="404" t="s">
        <v>338</v>
      </c>
      <c r="N46" s="44"/>
      <c r="O46" s="127" t="s">
        <v>339</v>
      </c>
      <c r="P46" s="127"/>
      <c r="Q46" s="295"/>
      <c r="R46" s="295"/>
    </row>
    <row r="47">
      <c r="A47" s="290"/>
      <c r="B47" s="291"/>
      <c r="C47" s="291"/>
      <c r="D47" s="292"/>
      <c r="E47" s="293">
        <v>43914.0</v>
      </c>
      <c r="F47" s="76" t="s">
        <v>125</v>
      </c>
      <c r="G47" s="54"/>
      <c r="H47" s="59" t="s">
        <v>45</v>
      </c>
      <c r="I47" s="107" t="s">
        <v>126</v>
      </c>
      <c r="J47" s="350" t="s">
        <v>340</v>
      </c>
      <c r="K47" s="348" t="s">
        <v>565</v>
      </c>
      <c r="L47" s="81"/>
      <c r="M47" s="54"/>
      <c r="N47" s="44"/>
      <c r="O47" s="127"/>
      <c r="P47" s="127"/>
      <c r="Q47" s="295"/>
      <c r="R47" s="295"/>
    </row>
    <row r="48">
      <c r="A48" s="290"/>
      <c r="B48" s="291"/>
      <c r="C48" s="291"/>
      <c r="D48" s="292"/>
      <c r="E48" s="293">
        <v>43914.0</v>
      </c>
      <c r="F48" s="76" t="s">
        <v>125</v>
      </c>
      <c r="G48" s="54"/>
      <c r="H48" s="59" t="s">
        <v>105</v>
      </c>
      <c r="I48" s="107" t="s">
        <v>126</v>
      </c>
      <c r="J48" s="415" t="s">
        <v>577</v>
      </c>
      <c r="K48" s="348"/>
      <c r="L48" s="81"/>
      <c r="M48" s="54"/>
      <c r="N48" s="44"/>
      <c r="O48" s="127"/>
      <c r="P48" s="127"/>
      <c r="Q48" s="295"/>
      <c r="R48" s="295"/>
    </row>
    <row r="49" ht="18.75" customHeight="1">
      <c r="A49" s="290"/>
      <c r="B49" s="291"/>
      <c r="C49" s="291"/>
      <c r="D49" s="292"/>
      <c r="E49" s="293">
        <v>43914.0</v>
      </c>
      <c r="F49" s="76" t="s">
        <v>333</v>
      </c>
      <c r="G49" s="54"/>
      <c r="H49" s="59" t="s">
        <v>188</v>
      </c>
      <c r="I49" s="116" t="s">
        <v>126</v>
      </c>
      <c r="J49" s="81" t="s">
        <v>52</v>
      </c>
      <c r="K49" s="424"/>
      <c r="L49" s="81"/>
      <c r="M49" s="54"/>
      <c r="N49" s="44"/>
      <c r="O49" s="76" t="s">
        <v>54</v>
      </c>
      <c r="P49" s="76"/>
      <c r="Q49" s="295"/>
      <c r="R49" s="295"/>
    </row>
    <row r="50">
      <c r="A50" s="290"/>
      <c r="B50" s="291"/>
      <c r="C50" s="291"/>
      <c r="D50" s="292"/>
      <c r="E50" s="293">
        <v>43914.0</v>
      </c>
      <c r="F50" s="76" t="s">
        <v>161</v>
      </c>
      <c r="G50" s="54"/>
      <c r="H50" s="59" t="s">
        <v>188</v>
      </c>
      <c r="I50" s="116" t="s">
        <v>126</v>
      </c>
      <c r="J50" s="81" t="s">
        <v>52</v>
      </c>
      <c r="K50" s="67"/>
      <c r="L50" s="81"/>
      <c r="M50" s="54"/>
      <c r="N50" s="44"/>
      <c r="O50" s="127" t="s">
        <v>61</v>
      </c>
      <c r="P50" s="127"/>
      <c r="Q50" s="295"/>
      <c r="R50" s="295"/>
    </row>
    <row r="51">
      <c r="A51" s="290"/>
      <c r="B51" s="291"/>
      <c r="C51" s="291"/>
      <c r="D51" s="292"/>
      <c r="E51" s="293">
        <v>43914.0</v>
      </c>
      <c r="F51" s="76" t="s">
        <v>598</v>
      </c>
      <c r="G51" s="54" t="s">
        <v>214</v>
      </c>
      <c r="H51" s="59" t="s">
        <v>214</v>
      </c>
      <c r="I51" s="140" t="s">
        <v>216</v>
      </c>
      <c r="J51" s="384" t="s">
        <v>80</v>
      </c>
      <c r="K51" s="388" t="s">
        <v>71</v>
      </c>
      <c r="L51" s="81"/>
      <c r="M51" s="54"/>
      <c r="N51" s="44"/>
      <c r="O51" s="127" t="s">
        <v>378</v>
      </c>
      <c r="P51" s="127"/>
      <c r="Q51" s="295"/>
      <c r="R51" s="295"/>
    </row>
    <row r="52" ht="19.5" customHeight="1">
      <c r="A52" s="290"/>
      <c r="B52" s="291"/>
      <c r="C52" s="291"/>
      <c r="D52" s="292"/>
      <c r="E52" s="293">
        <v>43914.0</v>
      </c>
      <c r="F52" s="76" t="s">
        <v>150</v>
      </c>
      <c r="G52" s="54"/>
      <c r="H52" s="59" t="s">
        <v>250</v>
      </c>
      <c r="I52" s="116" t="s">
        <v>126</v>
      </c>
      <c r="J52" s="81" t="s">
        <v>52</v>
      </c>
      <c r="K52" s="67"/>
      <c r="L52" s="81"/>
      <c r="M52" s="54"/>
      <c r="N52" s="44"/>
      <c r="O52" s="76" t="s">
        <v>54</v>
      </c>
      <c r="P52" s="76"/>
      <c r="Q52" s="295"/>
      <c r="R52" s="295"/>
    </row>
    <row r="53">
      <c r="A53" s="290"/>
      <c r="B53" s="291"/>
      <c r="C53" s="291"/>
      <c r="D53" s="292"/>
      <c r="E53" s="293">
        <v>43914.0</v>
      </c>
      <c r="F53" s="76" t="s">
        <v>161</v>
      </c>
      <c r="G53" s="54"/>
      <c r="H53" s="59" t="s">
        <v>250</v>
      </c>
      <c r="I53" s="116" t="s">
        <v>126</v>
      </c>
      <c r="J53" s="81" t="s">
        <v>52</v>
      </c>
      <c r="K53" s="67"/>
      <c r="L53" s="81"/>
      <c r="M53" s="54"/>
      <c r="N53" s="44"/>
      <c r="O53" s="127" t="s">
        <v>61</v>
      </c>
      <c r="P53" s="127"/>
      <c r="Q53" s="295"/>
      <c r="R53" s="295"/>
    </row>
    <row r="54">
      <c r="A54" s="290"/>
      <c r="B54" s="291"/>
      <c r="C54" s="291"/>
      <c r="D54" s="292"/>
      <c r="E54" s="293">
        <v>43914.0</v>
      </c>
      <c r="F54" s="76" t="s">
        <v>125</v>
      </c>
      <c r="G54" s="54"/>
      <c r="H54" s="59" t="s">
        <v>68</v>
      </c>
      <c r="I54" s="107" t="s">
        <v>126</v>
      </c>
      <c r="J54" s="446" t="s">
        <v>661</v>
      </c>
      <c r="K54" s="348"/>
      <c r="L54" s="81"/>
      <c r="M54" s="54"/>
      <c r="N54" s="44"/>
      <c r="O54" s="127"/>
      <c r="P54" s="127"/>
      <c r="Q54" s="295"/>
      <c r="R54" s="295"/>
    </row>
    <row r="55">
      <c r="A55" s="290"/>
      <c r="B55" s="291"/>
      <c r="C55" s="291"/>
      <c r="D55" s="292"/>
      <c r="E55" s="293">
        <v>43914.0</v>
      </c>
      <c r="F55" s="76" t="s">
        <v>255</v>
      </c>
      <c r="G55" s="54"/>
      <c r="H55" s="59" t="s">
        <v>256</v>
      </c>
      <c r="I55" s="107" t="s">
        <v>126</v>
      </c>
      <c r="J55" s="446" t="s">
        <v>673</v>
      </c>
      <c r="K55" s="348"/>
      <c r="L55" s="81"/>
      <c r="M55" s="54"/>
      <c r="N55" s="44"/>
      <c r="O55" s="127"/>
      <c r="P55" s="127"/>
      <c r="Q55" s="295"/>
      <c r="R55" s="295"/>
    </row>
    <row r="56" ht="18.0" customHeight="1">
      <c r="A56" s="354"/>
      <c r="B56" s="355"/>
      <c r="C56" s="355"/>
      <c r="D56" s="356"/>
      <c r="E56" s="449"/>
      <c r="F56" s="306"/>
      <c r="G56" s="31"/>
      <c r="H56" s="32"/>
      <c r="I56" s="450"/>
      <c r="J56" s="359"/>
      <c r="K56" s="34"/>
      <c r="L56" s="359"/>
      <c r="M56" s="31"/>
      <c r="N56" s="25"/>
      <c r="O56" s="306"/>
      <c r="P56" s="306"/>
      <c r="Q56" s="361"/>
      <c r="R56" s="361"/>
    </row>
    <row r="57" ht="18.0" customHeight="1">
      <c r="A57" s="290"/>
      <c r="B57" s="291"/>
      <c r="C57" s="291"/>
      <c r="D57" s="292"/>
      <c r="E57" s="452">
        <v>43915.0</v>
      </c>
      <c r="F57" s="76" t="s">
        <v>150</v>
      </c>
      <c r="G57" s="54"/>
      <c r="H57" s="59" t="s">
        <v>43</v>
      </c>
      <c r="I57" s="116" t="s">
        <v>126</v>
      </c>
      <c r="J57" s="81" t="s">
        <v>52</v>
      </c>
      <c r="K57" s="67"/>
      <c r="L57" s="81"/>
      <c r="M57" s="54"/>
      <c r="N57" s="44"/>
      <c r="O57" s="76" t="s">
        <v>54</v>
      </c>
      <c r="P57" s="76"/>
      <c r="Q57" s="295"/>
      <c r="R57" s="295"/>
    </row>
    <row r="58">
      <c r="A58" s="290"/>
      <c r="B58" s="291"/>
      <c r="C58" s="291"/>
      <c r="D58" s="292"/>
      <c r="E58" s="452">
        <v>43915.0</v>
      </c>
      <c r="F58" s="76" t="s">
        <v>161</v>
      </c>
      <c r="G58" s="54"/>
      <c r="H58" s="59" t="s">
        <v>43</v>
      </c>
      <c r="I58" s="116" t="s">
        <v>126</v>
      </c>
      <c r="J58" s="81" t="s">
        <v>52</v>
      </c>
      <c r="K58" s="67"/>
      <c r="L58" s="81"/>
      <c r="M58" s="54"/>
      <c r="N58" s="44"/>
      <c r="O58" s="127" t="s">
        <v>61</v>
      </c>
      <c r="P58" s="127"/>
      <c r="Q58" s="295"/>
      <c r="R58" s="295"/>
    </row>
    <row r="59">
      <c r="A59" s="458"/>
      <c r="B59" s="459"/>
      <c r="C59" s="459"/>
      <c r="D59" s="459"/>
      <c r="E59" s="452">
        <v>43915.0</v>
      </c>
      <c r="F59" s="193" t="s">
        <v>279</v>
      </c>
      <c r="G59" s="75" t="s">
        <v>66</v>
      </c>
      <c r="H59" s="59" t="s">
        <v>66</v>
      </c>
      <c r="I59" s="140" t="s">
        <v>69</v>
      </c>
      <c r="J59" s="384" t="s">
        <v>80</v>
      </c>
      <c r="K59" s="388" t="s">
        <v>80</v>
      </c>
      <c r="L59" s="74"/>
      <c r="M59" s="461" t="str">
        <f>HYPERLINK("https://d75stem.d75edu.com/","STEM Site")</f>
        <v>STEM Site</v>
      </c>
      <c r="N59" s="459"/>
      <c r="O59" s="462" t="s">
        <v>99</v>
      </c>
      <c r="P59" s="463"/>
      <c r="Q59" s="459"/>
      <c r="R59" s="459"/>
    </row>
    <row r="60">
      <c r="A60" s="458"/>
      <c r="B60" s="459"/>
      <c r="C60" s="459"/>
      <c r="D60" s="459"/>
      <c r="E60" s="452">
        <v>43915.0</v>
      </c>
      <c r="F60" s="465" t="s">
        <v>125</v>
      </c>
      <c r="G60" s="74"/>
      <c r="H60" s="103" t="s">
        <v>45</v>
      </c>
      <c r="I60" s="107" t="s">
        <v>126</v>
      </c>
      <c r="J60" s="446" t="s">
        <v>759</v>
      </c>
      <c r="K60" s="348"/>
      <c r="L60" s="74"/>
      <c r="M60" s="74"/>
      <c r="N60" s="459"/>
      <c r="O60" s="463"/>
      <c r="P60" s="463"/>
      <c r="Q60" s="459"/>
      <c r="R60" s="459"/>
    </row>
    <row r="61">
      <c r="A61" s="458"/>
      <c r="B61" s="459"/>
      <c r="C61" s="459"/>
      <c r="D61" s="459"/>
      <c r="E61" s="452">
        <v>43915.0</v>
      </c>
      <c r="F61" s="193" t="s">
        <v>761</v>
      </c>
      <c r="G61" s="75" t="s">
        <v>149</v>
      </c>
      <c r="H61" s="59" t="s">
        <v>149</v>
      </c>
      <c r="I61" s="140" t="s">
        <v>216</v>
      </c>
      <c r="J61" s="384" t="s">
        <v>80</v>
      </c>
      <c r="K61" s="388" t="s">
        <v>71</v>
      </c>
      <c r="L61" s="74"/>
      <c r="M61" s="74"/>
      <c r="N61" s="459"/>
      <c r="O61" s="462" t="s">
        <v>403</v>
      </c>
      <c r="P61" s="463"/>
      <c r="Q61" s="459"/>
      <c r="R61" s="459"/>
    </row>
    <row r="62">
      <c r="A62" s="290"/>
      <c r="B62" s="291"/>
      <c r="C62" s="291"/>
      <c r="D62" s="292"/>
      <c r="E62" s="293">
        <v>43915.0</v>
      </c>
      <c r="F62" s="76" t="s">
        <v>125</v>
      </c>
      <c r="G62" s="54"/>
      <c r="H62" s="59" t="s">
        <v>105</v>
      </c>
      <c r="I62" s="107" t="s">
        <v>126</v>
      </c>
      <c r="J62" s="81" t="s">
        <v>306</v>
      </c>
      <c r="K62" s="348"/>
      <c r="L62" s="81"/>
      <c r="M62" s="54"/>
      <c r="N62" s="44"/>
      <c r="O62" s="127"/>
      <c r="P62" s="127"/>
      <c r="Q62" s="295"/>
      <c r="R62" s="295"/>
    </row>
    <row r="63" ht="19.5" customHeight="1">
      <c r="A63" s="290"/>
      <c r="B63" s="291"/>
      <c r="C63" s="291"/>
      <c r="D63" s="292"/>
      <c r="E63" s="452">
        <v>43915.0</v>
      </c>
      <c r="F63" s="76" t="s">
        <v>150</v>
      </c>
      <c r="G63" s="54"/>
      <c r="H63" s="59" t="s">
        <v>188</v>
      </c>
      <c r="I63" s="116" t="s">
        <v>126</v>
      </c>
      <c r="J63" s="81" t="s">
        <v>52</v>
      </c>
      <c r="K63" s="67"/>
      <c r="L63" s="81"/>
      <c r="M63" s="54"/>
      <c r="N63" s="44"/>
      <c r="O63" s="76" t="s">
        <v>54</v>
      </c>
      <c r="P63" s="76"/>
      <c r="Q63" s="295"/>
      <c r="R63" s="295"/>
    </row>
    <row r="64">
      <c r="A64" s="290"/>
      <c r="B64" s="291"/>
      <c r="C64" s="291"/>
      <c r="D64" s="292"/>
      <c r="E64" s="452">
        <v>43915.0</v>
      </c>
      <c r="F64" s="76" t="s">
        <v>161</v>
      </c>
      <c r="G64" s="54"/>
      <c r="H64" s="59" t="s">
        <v>188</v>
      </c>
      <c r="I64" s="116" t="s">
        <v>126</v>
      </c>
      <c r="J64" s="81" t="s">
        <v>52</v>
      </c>
      <c r="K64" s="67"/>
      <c r="L64" s="81"/>
      <c r="M64" s="54"/>
      <c r="N64" s="44"/>
      <c r="O64" s="127" t="s">
        <v>61</v>
      </c>
      <c r="P64" s="127"/>
      <c r="Q64" s="295"/>
      <c r="R64" s="295"/>
    </row>
    <row r="65">
      <c r="A65" s="458"/>
      <c r="B65" s="459"/>
      <c r="C65" s="459"/>
      <c r="D65" s="459"/>
      <c r="E65" s="452">
        <v>43915.0</v>
      </c>
      <c r="F65" s="193" t="s">
        <v>476</v>
      </c>
      <c r="G65" s="75" t="s">
        <v>214</v>
      </c>
      <c r="H65" s="59" t="s">
        <v>214</v>
      </c>
      <c r="I65" s="140" t="s">
        <v>216</v>
      </c>
      <c r="J65" s="384" t="s">
        <v>80</v>
      </c>
      <c r="K65" s="388" t="s">
        <v>71</v>
      </c>
      <c r="L65" s="74"/>
      <c r="M65" s="74"/>
      <c r="N65" s="459"/>
      <c r="O65" s="462" t="s">
        <v>477</v>
      </c>
      <c r="P65" s="463"/>
      <c r="Q65" s="459"/>
      <c r="R65" s="459"/>
    </row>
    <row r="66" ht="19.5" customHeight="1">
      <c r="A66" s="290"/>
      <c r="B66" s="291"/>
      <c r="C66" s="291"/>
      <c r="D66" s="292"/>
      <c r="E66" s="293">
        <v>43915.0</v>
      </c>
      <c r="F66" s="76" t="s">
        <v>150</v>
      </c>
      <c r="G66" s="54"/>
      <c r="H66" s="59" t="s">
        <v>250</v>
      </c>
      <c r="I66" s="116" t="s">
        <v>126</v>
      </c>
      <c r="J66" s="81" t="s">
        <v>52</v>
      </c>
      <c r="K66" s="67"/>
      <c r="L66" s="81"/>
      <c r="M66" s="54"/>
      <c r="N66" s="44"/>
      <c r="O66" s="76" t="s">
        <v>54</v>
      </c>
      <c r="P66" s="76"/>
      <c r="Q66" s="295"/>
      <c r="R66" s="295"/>
    </row>
    <row r="67">
      <c r="A67" s="290"/>
      <c r="B67" s="291"/>
      <c r="C67" s="291"/>
      <c r="D67" s="292"/>
      <c r="E67" s="293">
        <v>43915.0</v>
      </c>
      <c r="F67" s="76" t="s">
        <v>161</v>
      </c>
      <c r="G67" s="54"/>
      <c r="H67" s="59" t="s">
        <v>250</v>
      </c>
      <c r="I67" s="116" t="s">
        <v>126</v>
      </c>
      <c r="J67" s="81" t="s">
        <v>52</v>
      </c>
      <c r="K67" s="67"/>
      <c r="L67" s="81"/>
      <c r="M67" s="54"/>
      <c r="N67" s="44"/>
      <c r="O67" s="127" t="s">
        <v>61</v>
      </c>
      <c r="P67" s="127"/>
      <c r="Q67" s="295"/>
      <c r="R67" s="295"/>
    </row>
    <row r="68">
      <c r="A68" s="290"/>
      <c r="B68" s="291"/>
      <c r="C68" s="291"/>
      <c r="D68" s="292"/>
      <c r="E68" s="293">
        <v>43915.0</v>
      </c>
      <c r="F68" s="76" t="s">
        <v>125</v>
      </c>
      <c r="G68" s="54"/>
      <c r="H68" s="59" t="s">
        <v>68</v>
      </c>
      <c r="I68" s="107" t="s">
        <v>126</v>
      </c>
      <c r="J68" s="446" t="s">
        <v>759</v>
      </c>
      <c r="K68" s="348"/>
      <c r="L68" s="81"/>
      <c r="M68" s="54"/>
      <c r="N68" s="44"/>
      <c r="O68" s="127"/>
      <c r="P68" s="127"/>
      <c r="Q68" s="295"/>
      <c r="R68" s="295"/>
    </row>
    <row r="69">
      <c r="A69" s="290"/>
      <c r="B69" s="291"/>
      <c r="C69" s="291"/>
      <c r="D69" s="292"/>
      <c r="E69" s="293">
        <v>43915.0</v>
      </c>
      <c r="F69" s="76" t="s">
        <v>255</v>
      </c>
      <c r="G69" s="54"/>
      <c r="H69" s="59" t="s">
        <v>256</v>
      </c>
      <c r="I69" s="107" t="s">
        <v>126</v>
      </c>
      <c r="J69" s="446" t="s">
        <v>661</v>
      </c>
      <c r="K69" s="348"/>
      <c r="L69" s="81"/>
      <c r="M69" s="54"/>
      <c r="N69" s="44"/>
      <c r="O69" s="127"/>
      <c r="P69" s="127"/>
      <c r="Q69" s="295"/>
      <c r="R69" s="295"/>
    </row>
    <row r="70" ht="19.5" customHeight="1">
      <c r="A70" s="354"/>
      <c r="B70" s="355"/>
      <c r="C70" s="355"/>
      <c r="D70" s="356"/>
      <c r="E70" s="449"/>
      <c r="F70" s="306"/>
      <c r="G70" s="31"/>
      <c r="H70" s="32"/>
      <c r="I70" s="450"/>
      <c r="J70" s="359"/>
      <c r="K70" s="34"/>
      <c r="L70" s="359"/>
      <c r="M70" s="31"/>
      <c r="N70" s="25"/>
      <c r="O70" s="306"/>
      <c r="P70" s="306"/>
      <c r="Q70" s="361"/>
      <c r="R70" s="361"/>
    </row>
    <row r="71" ht="19.5" customHeight="1">
      <c r="A71" s="290"/>
      <c r="B71" s="291"/>
      <c r="C71" s="291"/>
      <c r="D71" s="292"/>
      <c r="E71" s="452">
        <v>43916.0</v>
      </c>
      <c r="F71" s="76" t="s">
        <v>150</v>
      </c>
      <c r="G71" s="54"/>
      <c r="H71" s="59" t="s">
        <v>43</v>
      </c>
      <c r="I71" s="116" t="s">
        <v>126</v>
      </c>
      <c r="J71" s="81" t="s">
        <v>52</v>
      </c>
      <c r="K71" s="67"/>
      <c r="L71" s="81"/>
      <c r="M71" s="54"/>
      <c r="N71" s="44"/>
      <c r="O71" s="76" t="s">
        <v>54</v>
      </c>
      <c r="P71" s="76"/>
      <c r="Q71" s="295"/>
      <c r="R71" s="295"/>
    </row>
    <row r="72">
      <c r="A72" s="290"/>
      <c r="B72" s="291"/>
      <c r="C72" s="291"/>
      <c r="D72" s="292"/>
      <c r="E72" s="452">
        <v>43916.0</v>
      </c>
      <c r="F72" s="76" t="s">
        <v>161</v>
      </c>
      <c r="G72" s="54"/>
      <c r="H72" s="59" t="s">
        <v>43</v>
      </c>
      <c r="I72" s="116" t="s">
        <v>126</v>
      </c>
      <c r="J72" s="81" t="s">
        <v>52</v>
      </c>
      <c r="K72" s="67"/>
      <c r="L72" s="81"/>
      <c r="M72" s="54"/>
      <c r="N72" s="44"/>
      <c r="O72" s="127" t="s">
        <v>61</v>
      </c>
      <c r="P72" s="127"/>
      <c r="Q72" s="295"/>
      <c r="R72" s="295"/>
    </row>
    <row r="73">
      <c r="A73" s="458"/>
      <c r="B73" s="459"/>
      <c r="C73" s="459"/>
      <c r="D73" s="459"/>
      <c r="E73" s="452">
        <v>43916.0</v>
      </c>
      <c r="F73" s="193" t="s">
        <v>279</v>
      </c>
      <c r="G73" s="75" t="s">
        <v>66</v>
      </c>
      <c r="H73" s="59" t="s">
        <v>66</v>
      </c>
      <c r="I73" s="140" t="s">
        <v>69</v>
      </c>
      <c r="J73" s="384" t="s">
        <v>80</v>
      </c>
      <c r="K73" s="388" t="s">
        <v>80</v>
      </c>
      <c r="L73" s="74"/>
      <c r="M73" s="461" t="str">
        <f>HYPERLINK("https://d75stem.d75edu.com/","STEM Site")</f>
        <v>STEM Site</v>
      </c>
      <c r="N73" s="459"/>
      <c r="O73" s="462" t="s">
        <v>99</v>
      </c>
      <c r="P73" s="463"/>
      <c r="Q73" s="459"/>
      <c r="R73" s="459"/>
    </row>
    <row r="74">
      <c r="A74" s="458"/>
      <c r="B74" s="459"/>
      <c r="C74" s="459"/>
      <c r="D74" s="459"/>
      <c r="E74" s="452">
        <v>43916.0</v>
      </c>
      <c r="F74" s="465" t="s">
        <v>125</v>
      </c>
      <c r="G74" s="74"/>
      <c r="H74" s="103" t="s">
        <v>45</v>
      </c>
      <c r="I74" s="107" t="s">
        <v>126</v>
      </c>
      <c r="J74" s="446" t="s">
        <v>137</v>
      </c>
      <c r="K74" s="348"/>
      <c r="L74" s="74"/>
      <c r="M74" s="74"/>
      <c r="N74" s="459"/>
      <c r="O74" s="462" t="s">
        <v>142</v>
      </c>
      <c r="P74" s="463"/>
      <c r="Q74" s="459"/>
      <c r="R74" s="459"/>
    </row>
    <row r="75">
      <c r="A75" s="290"/>
      <c r="B75" s="291"/>
      <c r="C75" s="291"/>
      <c r="D75" s="292"/>
      <c r="E75" s="293">
        <v>43916.0</v>
      </c>
      <c r="F75" s="76" t="s">
        <v>125</v>
      </c>
      <c r="G75" s="54"/>
      <c r="H75" s="59" t="s">
        <v>105</v>
      </c>
      <c r="I75" s="107" t="s">
        <v>126</v>
      </c>
      <c r="J75" s="446" t="s">
        <v>922</v>
      </c>
      <c r="K75" s="348" t="s">
        <v>565</v>
      </c>
      <c r="L75" s="81"/>
      <c r="M75" s="54"/>
      <c r="N75" s="44"/>
      <c r="O75" s="127"/>
      <c r="P75" s="127"/>
      <c r="Q75" s="295"/>
      <c r="R75" s="295"/>
    </row>
    <row r="76">
      <c r="A76" s="458"/>
      <c r="B76" s="459"/>
      <c r="C76" s="459"/>
      <c r="D76" s="459"/>
      <c r="E76" s="452">
        <v>43916.0</v>
      </c>
      <c r="F76" s="193" t="s">
        <v>923</v>
      </c>
      <c r="G76" s="75" t="s">
        <v>149</v>
      </c>
      <c r="H76" s="59" t="s">
        <v>149</v>
      </c>
      <c r="I76" s="140" t="s">
        <v>216</v>
      </c>
      <c r="J76" s="384" t="s">
        <v>80</v>
      </c>
      <c r="K76" s="388" t="s">
        <v>71</v>
      </c>
      <c r="L76" s="74"/>
      <c r="M76" s="74"/>
      <c r="N76" s="459"/>
      <c r="O76" s="462" t="s">
        <v>157</v>
      </c>
      <c r="P76" s="463"/>
      <c r="Q76" s="459"/>
      <c r="R76" s="459"/>
    </row>
    <row r="77">
      <c r="A77" s="458"/>
      <c r="B77" s="459"/>
      <c r="C77" s="459"/>
      <c r="D77" s="459"/>
      <c r="E77" s="452">
        <v>43916.0</v>
      </c>
      <c r="F77" s="193" t="s">
        <v>936</v>
      </c>
      <c r="G77" s="75" t="s">
        <v>176</v>
      </c>
      <c r="H77" s="59" t="s">
        <v>176</v>
      </c>
      <c r="I77" s="140"/>
      <c r="J77" s="384" t="s">
        <v>80</v>
      </c>
      <c r="K77" s="388" t="s">
        <v>177</v>
      </c>
      <c r="L77" s="74"/>
      <c r="M77" s="74"/>
      <c r="N77" s="459"/>
      <c r="O77" s="462" t="s">
        <v>179</v>
      </c>
      <c r="P77" s="463"/>
      <c r="Q77" s="459"/>
      <c r="R77" s="459"/>
    </row>
    <row r="78" ht="19.5" customHeight="1">
      <c r="A78" s="290"/>
      <c r="B78" s="291"/>
      <c r="C78" s="291"/>
      <c r="D78" s="292"/>
      <c r="E78" s="452">
        <v>43916.0</v>
      </c>
      <c r="F78" s="76" t="s">
        <v>950</v>
      </c>
      <c r="G78" s="54"/>
      <c r="H78" s="59" t="s">
        <v>188</v>
      </c>
      <c r="I78" s="116" t="s">
        <v>126</v>
      </c>
      <c r="J78" s="81" t="s">
        <v>52</v>
      </c>
      <c r="K78" s="67"/>
      <c r="L78" s="81"/>
      <c r="M78" s="54"/>
      <c r="N78" s="44"/>
      <c r="O78" s="76" t="s">
        <v>54</v>
      </c>
      <c r="P78" s="76"/>
      <c r="Q78" s="295"/>
      <c r="R78" s="295"/>
    </row>
    <row r="79">
      <c r="A79" s="290"/>
      <c r="B79" s="291"/>
      <c r="C79" s="291"/>
      <c r="D79" s="292"/>
      <c r="E79" s="452">
        <v>43916.0</v>
      </c>
      <c r="F79" s="76" t="s">
        <v>161</v>
      </c>
      <c r="G79" s="54"/>
      <c r="H79" s="59" t="s">
        <v>188</v>
      </c>
      <c r="I79" s="116" t="s">
        <v>126</v>
      </c>
      <c r="J79" s="81" t="s">
        <v>52</v>
      </c>
      <c r="K79" s="67"/>
      <c r="L79" s="81"/>
      <c r="M79" s="54"/>
      <c r="N79" s="44"/>
      <c r="O79" s="127" t="s">
        <v>61</v>
      </c>
      <c r="P79" s="127"/>
      <c r="Q79" s="295"/>
      <c r="R79" s="295"/>
    </row>
    <row r="80">
      <c r="A80" s="458"/>
      <c r="B80" s="459"/>
      <c r="C80" s="459"/>
      <c r="D80" s="459"/>
      <c r="E80" s="452">
        <v>43916.0</v>
      </c>
      <c r="F80" s="193" t="s">
        <v>969</v>
      </c>
      <c r="G80" s="75" t="s">
        <v>214</v>
      </c>
      <c r="H80" s="59" t="s">
        <v>214</v>
      </c>
      <c r="I80" s="140" t="s">
        <v>216</v>
      </c>
      <c r="J80" s="384" t="s">
        <v>80</v>
      </c>
      <c r="K80" s="388" t="s">
        <v>71</v>
      </c>
      <c r="L80" s="74"/>
      <c r="M80" s="74"/>
      <c r="N80" s="459"/>
      <c r="O80" s="462" t="s">
        <v>477</v>
      </c>
      <c r="P80" s="463"/>
      <c r="Q80" s="459"/>
      <c r="R80" s="459"/>
    </row>
    <row r="81" ht="19.5" customHeight="1">
      <c r="A81" s="290"/>
      <c r="B81" s="291"/>
      <c r="C81" s="291"/>
      <c r="D81" s="292"/>
      <c r="E81" s="293">
        <v>43916.0</v>
      </c>
      <c r="F81" s="76" t="s">
        <v>150</v>
      </c>
      <c r="G81" s="54"/>
      <c r="H81" s="59" t="s">
        <v>250</v>
      </c>
      <c r="I81" s="116" t="s">
        <v>126</v>
      </c>
      <c r="J81" s="81" t="s">
        <v>52</v>
      </c>
      <c r="K81" s="67"/>
      <c r="L81" s="81"/>
      <c r="M81" s="54"/>
      <c r="N81" s="44"/>
      <c r="O81" s="76" t="s">
        <v>54</v>
      </c>
      <c r="P81" s="76"/>
      <c r="Q81" s="295"/>
      <c r="R81" s="295"/>
    </row>
    <row r="82">
      <c r="A82" s="290"/>
      <c r="B82" s="291"/>
      <c r="C82" s="291"/>
      <c r="D82" s="292"/>
      <c r="E82" s="293">
        <v>43916.0</v>
      </c>
      <c r="F82" s="76" t="s">
        <v>161</v>
      </c>
      <c r="G82" s="54"/>
      <c r="H82" s="59" t="s">
        <v>250</v>
      </c>
      <c r="I82" s="116" t="s">
        <v>126</v>
      </c>
      <c r="J82" s="81" t="s">
        <v>52</v>
      </c>
      <c r="K82" s="67"/>
      <c r="L82" s="81"/>
      <c r="M82" s="54"/>
      <c r="N82" s="44"/>
      <c r="O82" s="127" t="s">
        <v>61</v>
      </c>
      <c r="P82" s="127"/>
      <c r="Q82" s="295"/>
      <c r="R82" s="295"/>
    </row>
    <row r="83">
      <c r="A83" s="290"/>
      <c r="B83" s="291"/>
      <c r="C83" s="291"/>
      <c r="D83" s="292"/>
      <c r="E83" s="293">
        <v>43916.0</v>
      </c>
      <c r="F83" s="76" t="s">
        <v>125</v>
      </c>
      <c r="G83" s="54"/>
      <c r="H83" s="59" t="s">
        <v>68</v>
      </c>
      <c r="I83" s="107" t="s">
        <v>126</v>
      </c>
      <c r="J83" s="81" t="s">
        <v>1006</v>
      </c>
      <c r="K83" s="348" t="s">
        <v>1007</v>
      </c>
      <c r="L83" s="81"/>
      <c r="M83" s="54"/>
      <c r="N83" s="44"/>
      <c r="O83" s="127"/>
      <c r="P83" s="127"/>
      <c r="Q83" s="295"/>
      <c r="R83" s="295"/>
    </row>
    <row r="84">
      <c r="A84" s="290"/>
      <c r="B84" s="291"/>
      <c r="C84" s="291"/>
      <c r="D84" s="292"/>
      <c r="E84" s="293">
        <v>43916.0</v>
      </c>
      <c r="F84" s="76" t="s">
        <v>255</v>
      </c>
      <c r="G84" s="54"/>
      <c r="H84" s="59" t="s">
        <v>256</v>
      </c>
      <c r="I84" s="107" t="s">
        <v>126</v>
      </c>
      <c r="J84" s="446" t="s">
        <v>1013</v>
      </c>
      <c r="K84" s="348"/>
      <c r="L84" s="81"/>
      <c r="M84" s="54"/>
      <c r="N84" s="44"/>
      <c r="O84" s="127"/>
      <c r="P84" s="127"/>
      <c r="Q84" s="295"/>
      <c r="R84" s="295"/>
    </row>
    <row r="85" ht="18.0" customHeight="1">
      <c r="A85" s="354"/>
      <c r="B85" s="355"/>
      <c r="C85" s="355"/>
      <c r="D85" s="356"/>
      <c r="E85" s="449"/>
      <c r="F85" s="306"/>
      <c r="G85" s="31"/>
      <c r="H85" s="32"/>
      <c r="I85" s="450"/>
      <c r="J85" s="359"/>
      <c r="K85" s="34"/>
      <c r="L85" s="359"/>
      <c r="M85" s="31"/>
      <c r="N85" s="25"/>
      <c r="O85" s="306"/>
      <c r="P85" s="306"/>
      <c r="Q85" s="361"/>
      <c r="R85" s="361"/>
    </row>
    <row r="86" ht="18.0" customHeight="1">
      <c r="A86" s="290"/>
      <c r="B86" s="291"/>
      <c r="C86" s="291"/>
      <c r="D86" s="292"/>
      <c r="E86" s="452">
        <v>43917.0</v>
      </c>
      <c r="F86" s="76" t="s">
        <v>150</v>
      </c>
      <c r="G86" s="54"/>
      <c r="H86" s="59" t="s">
        <v>43</v>
      </c>
      <c r="I86" s="116" t="s">
        <v>126</v>
      </c>
      <c r="J86" s="81" t="s">
        <v>52</v>
      </c>
      <c r="K86" s="67"/>
      <c r="L86" s="81"/>
      <c r="M86" s="54"/>
      <c r="N86" s="44"/>
      <c r="O86" s="76" t="s">
        <v>54</v>
      </c>
      <c r="P86" s="76"/>
      <c r="Q86" s="295"/>
      <c r="R86" s="295"/>
    </row>
    <row r="87">
      <c r="A87" s="290"/>
      <c r="B87" s="291"/>
      <c r="C87" s="291"/>
      <c r="D87" s="292"/>
      <c r="E87" s="452">
        <v>43917.0</v>
      </c>
      <c r="F87" s="76" t="s">
        <v>161</v>
      </c>
      <c r="G87" s="54"/>
      <c r="H87" s="59" t="s">
        <v>43</v>
      </c>
      <c r="I87" s="116" t="s">
        <v>126</v>
      </c>
      <c r="J87" s="81" t="s">
        <v>52</v>
      </c>
      <c r="K87" s="67"/>
      <c r="L87" s="81"/>
      <c r="M87" s="54"/>
      <c r="N87" s="44"/>
      <c r="O87" s="127" t="s">
        <v>61</v>
      </c>
      <c r="P87" s="127"/>
      <c r="Q87" s="295"/>
      <c r="R87" s="295"/>
    </row>
    <row r="88">
      <c r="A88" s="458"/>
      <c r="B88" s="459"/>
      <c r="C88" s="459"/>
      <c r="D88" s="459"/>
      <c r="E88" s="293">
        <v>43917.0</v>
      </c>
      <c r="F88" s="193" t="s">
        <v>279</v>
      </c>
      <c r="G88" s="75" t="s">
        <v>66</v>
      </c>
      <c r="H88" s="59" t="s">
        <v>66</v>
      </c>
      <c r="I88" s="140" t="s">
        <v>69</v>
      </c>
      <c r="J88" s="384" t="s">
        <v>80</v>
      </c>
      <c r="K88" s="388" t="s">
        <v>80</v>
      </c>
      <c r="L88" s="74"/>
      <c r="M88" s="461" t="str">
        <f>HYPERLINK("https://d75stem.d75edu.com/","STEM Site")</f>
        <v>STEM Site</v>
      </c>
      <c r="N88" s="459"/>
      <c r="O88" s="462" t="s">
        <v>99</v>
      </c>
      <c r="P88" s="463"/>
      <c r="Q88" s="459"/>
      <c r="R88" s="459"/>
    </row>
    <row r="89">
      <c r="A89" s="458"/>
      <c r="B89" s="459"/>
      <c r="C89" s="459"/>
      <c r="D89" s="459"/>
      <c r="E89" s="452">
        <v>43917.0</v>
      </c>
      <c r="F89" s="465" t="s">
        <v>125</v>
      </c>
      <c r="G89" s="74"/>
      <c r="H89" s="103" t="s">
        <v>45</v>
      </c>
      <c r="I89" s="107" t="s">
        <v>126</v>
      </c>
      <c r="J89" s="601"/>
      <c r="K89" s="348"/>
      <c r="L89" s="74"/>
      <c r="M89" s="74"/>
      <c r="N89" s="459"/>
      <c r="O89" s="463"/>
      <c r="P89" s="463"/>
      <c r="Q89" s="459"/>
      <c r="R89" s="459"/>
    </row>
    <row r="90">
      <c r="A90" s="458"/>
      <c r="B90" s="459"/>
      <c r="C90" s="459"/>
      <c r="D90" s="459"/>
      <c r="E90" s="293">
        <v>43917.0</v>
      </c>
      <c r="F90" s="193" t="s">
        <v>293</v>
      </c>
      <c r="G90" s="75" t="s">
        <v>149</v>
      </c>
      <c r="H90" s="59" t="s">
        <v>149</v>
      </c>
      <c r="I90" s="140" t="s">
        <v>216</v>
      </c>
      <c r="J90" s="384" t="s">
        <v>80</v>
      </c>
      <c r="K90" s="388" t="s">
        <v>71</v>
      </c>
      <c r="L90" s="74"/>
      <c r="M90" s="74"/>
      <c r="N90" s="459"/>
      <c r="O90" s="462" t="s">
        <v>297</v>
      </c>
      <c r="P90" s="463"/>
      <c r="Q90" s="459"/>
      <c r="R90" s="459"/>
    </row>
    <row r="91">
      <c r="A91" s="290"/>
      <c r="B91" s="291"/>
      <c r="C91" s="291"/>
      <c r="D91" s="292"/>
      <c r="E91" s="293">
        <v>43917.0</v>
      </c>
      <c r="F91" s="76" t="s">
        <v>125</v>
      </c>
      <c r="G91" s="54"/>
      <c r="H91" s="59" t="s">
        <v>105</v>
      </c>
      <c r="I91" s="107" t="s">
        <v>126</v>
      </c>
      <c r="J91" s="81" t="s">
        <v>306</v>
      </c>
      <c r="K91" s="348"/>
      <c r="L91" s="81"/>
      <c r="M91" s="54"/>
      <c r="N91" s="44"/>
      <c r="O91" s="127"/>
      <c r="P91" s="127"/>
      <c r="Q91" s="295"/>
      <c r="R91" s="295"/>
    </row>
    <row r="92" ht="19.5" customHeight="1">
      <c r="A92" s="290"/>
      <c r="B92" s="291"/>
      <c r="C92" s="291"/>
      <c r="D92" s="292"/>
      <c r="E92" s="452">
        <v>43917.0</v>
      </c>
      <c r="F92" s="76" t="s">
        <v>150</v>
      </c>
      <c r="G92" s="54"/>
      <c r="H92" s="59" t="s">
        <v>188</v>
      </c>
      <c r="I92" s="116" t="s">
        <v>126</v>
      </c>
      <c r="J92" s="81" t="s">
        <v>52</v>
      </c>
      <c r="K92" s="67"/>
      <c r="L92" s="81"/>
      <c r="M92" s="54"/>
      <c r="N92" s="44"/>
      <c r="O92" s="76" t="s">
        <v>54</v>
      </c>
      <c r="P92" s="76"/>
      <c r="Q92" s="295"/>
      <c r="R92" s="295"/>
    </row>
    <row r="93">
      <c r="A93" s="290"/>
      <c r="B93" s="291"/>
      <c r="C93" s="291"/>
      <c r="D93" s="292"/>
      <c r="E93" s="452">
        <v>43917.0</v>
      </c>
      <c r="F93" s="76" t="s">
        <v>161</v>
      </c>
      <c r="G93" s="54"/>
      <c r="H93" s="59" t="s">
        <v>188</v>
      </c>
      <c r="I93" s="116" t="s">
        <v>126</v>
      </c>
      <c r="J93" s="81" t="s">
        <v>52</v>
      </c>
      <c r="K93" s="67"/>
      <c r="L93" s="81"/>
      <c r="M93" s="54"/>
      <c r="N93" s="44"/>
      <c r="O93" s="127" t="s">
        <v>61</v>
      </c>
      <c r="P93" s="127"/>
      <c r="Q93" s="295"/>
      <c r="R93" s="295"/>
    </row>
    <row r="94">
      <c r="A94" s="458"/>
      <c r="B94" s="459"/>
      <c r="C94" s="459"/>
      <c r="D94" s="459"/>
      <c r="E94" s="293">
        <v>43917.0</v>
      </c>
      <c r="F94" s="193" t="s">
        <v>309</v>
      </c>
      <c r="G94" s="75" t="s">
        <v>214</v>
      </c>
      <c r="H94" s="59" t="s">
        <v>320</v>
      </c>
      <c r="I94" s="140" t="s">
        <v>216</v>
      </c>
      <c r="J94" s="384" t="s">
        <v>80</v>
      </c>
      <c r="K94" s="388" t="s">
        <v>71</v>
      </c>
      <c r="L94" s="74"/>
      <c r="M94" s="74"/>
      <c r="N94" s="459"/>
      <c r="O94" s="462" t="s">
        <v>312</v>
      </c>
      <c r="P94" s="463"/>
      <c r="Q94" s="459"/>
      <c r="R94" s="459"/>
    </row>
    <row r="95" ht="19.5" customHeight="1">
      <c r="A95" s="290"/>
      <c r="B95" s="291"/>
      <c r="C95" s="291"/>
      <c r="D95" s="292"/>
      <c r="E95" s="293">
        <v>43917.0</v>
      </c>
      <c r="F95" s="76" t="s">
        <v>150</v>
      </c>
      <c r="G95" s="54"/>
      <c r="H95" s="59" t="s">
        <v>250</v>
      </c>
      <c r="I95" s="116" t="s">
        <v>126</v>
      </c>
      <c r="J95" s="81" t="s">
        <v>52</v>
      </c>
      <c r="K95" s="67"/>
      <c r="L95" s="81"/>
      <c r="M95" s="54"/>
      <c r="N95" s="44"/>
      <c r="O95" s="76" t="s">
        <v>54</v>
      </c>
      <c r="P95" s="76"/>
      <c r="Q95" s="295"/>
      <c r="R95" s="295"/>
    </row>
    <row r="96">
      <c r="A96" s="290"/>
      <c r="B96" s="291"/>
      <c r="C96" s="291"/>
      <c r="D96" s="292"/>
      <c r="E96" s="293">
        <v>43917.0</v>
      </c>
      <c r="F96" s="76" t="s">
        <v>161</v>
      </c>
      <c r="G96" s="54"/>
      <c r="H96" s="59" t="s">
        <v>250</v>
      </c>
      <c r="I96" s="116" t="s">
        <v>126</v>
      </c>
      <c r="J96" s="81" t="s">
        <v>52</v>
      </c>
      <c r="K96" s="67"/>
      <c r="L96" s="81"/>
      <c r="M96" s="54"/>
      <c r="N96" s="44"/>
      <c r="O96" s="127" t="s">
        <v>61</v>
      </c>
      <c r="P96" s="127"/>
      <c r="Q96" s="295"/>
      <c r="R96" s="295"/>
    </row>
    <row r="97">
      <c r="A97" s="290"/>
      <c r="B97" s="291"/>
      <c r="C97" s="291"/>
      <c r="D97" s="292"/>
      <c r="E97" s="293">
        <v>43917.0</v>
      </c>
      <c r="F97" s="76" t="s">
        <v>125</v>
      </c>
      <c r="G97" s="54"/>
      <c r="H97" s="59" t="s">
        <v>68</v>
      </c>
      <c r="I97" s="627" t="s">
        <v>126</v>
      </c>
      <c r="J97" s="446" t="s">
        <v>1013</v>
      </c>
      <c r="K97" s="348"/>
      <c r="L97" s="81"/>
      <c r="M97" s="54"/>
      <c r="N97" s="44"/>
      <c r="O97" s="127"/>
      <c r="P97" s="127"/>
      <c r="Q97" s="295"/>
      <c r="R97" s="295"/>
    </row>
    <row r="98">
      <c r="A98" s="290"/>
      <c r="B98" s="291"/>
      <c r="C98" s="291"/>
      <c r="D98" s="292"/>
      <c r="E98" s="293">
        <v>43917.0</v>
      </c>
      <c r="F98" s="76" t="s">
        <v>255</v>
      </c>
      <c r="G98" s="54"/>
      <c r="H98" s="59" t="s">
        <v>256</v>
      </c>
      <c r="I98" s="627" t="s">
        <v>126</v>
      </c>
      <c r="J98" s="601"/>
      <c r="K98" s="348"/>
      <c r="L98" s="81"/>
      <c r="M98" s="54"/>
      <c r="N98" s="44"/>
      <c r="O98" s="127"/>
      <c r="P98" s="127"/>
      <c r="Q98" s="295"/>
      <c r="R98" s="295"/>
    </row>
  </sheetData>
  <autoFilter ref="$E$1:$O$98">
    <filterColumn colId="0">
      <filters blank="1">
        <filter val="Asynchronous"/>
        <filter val="Wednesday, March 25, 2020"/>
        <filter val="Thursday, March 26, 2020"/>
        <filter val="Monday, March 23, 2020"/>
        <filter val="Sunday, March 22, 2020"/>
        <filter val="Tuesday, March 24, 2020"/>
        <filter val="Friday, March 27, 2020"/>
      </filters>
    </filterColumn>
  </autoFilter>
  <hyperlinks>
    <hyperlink r:id="rId1" ref="I4"/>
    <hyperlink r:id="rId2" ref="I7"/>
    <hyperlink r:id="rId3" ref="I8"/>
    <hyperlink r:id="rId4" ref="I10"/>
    <hyperlink r:id="rId5" ref="I13"/>
    <hyperlink r:id="rId6" ref="I14"/>
    <hyperlink r:id="rId7" ref="I15"/>
    <hyperlink r:id="rId8" ref="I18"/>
    <hyperlink r:id="rId9" ref="I21"/>
    <hyperlink r:id="rId10" ref="I22"/>
    <hyperlink r:id="rId11" ref="I23"/>
    <hyperlink r:id="rId12" ref="I24"/>
    <hyperlink r:id="rId13" ref="I25"/>
    <hyperlink r:id="rId14" ref="I26"/>
    <hyperlink r:id="rId15" ref="M27"/>
    <hyperlink r:id="rId16" ref="M29"/>
    <hyperlink r:id="rId17" ref="M30"/>
    <hyperlink r:id="rId18" ref="I31"/>
    <hyperlink r:id="rId19" ref="M32"/>
    <hyperlink r:id="rId20" ref="I33"/>
    <hyperlink r:id="rId21" ref="I34"/>
    <hyperlink r:id="rId22" ref="M36"/>
    <hyperlink r:id="rId23" ref="I37"/>
    <hyperlink r:id="rId24" ref="I38"/>
    <hyperlink r:id="rId25" ref="I39"/>
    <hyperlink r:id="rId26" ref="I40"/>
    <hyperlink r:id="rId27" ref="I41"/>
    <hyperlink r:id="rId28" ref="I43"/>
    <hyperlink r:id="rId29" ref="I44"/>
    <hyperlink r:id="rId30" ref="I45"/>
    <hyperlink r:id="rId31" ref="J45"/>
    <hyperlink r:id="rId32" ref="K45"/>
    <hyperlink r:id="rId33" ref="M45"/>
    <hyperlink r:id="rId34" ref="I46"/>
    <hyperlink r:id="rId35" ref="J46"/>
    <hyperlink r:id="rId36" ref="K46"/>
    <hyperlink r:id="rId37" ref="M46"/>
    <hyperlink r:id="rId38" ref="I47"/>
    <hyperlink r:id="rId39" ref="I48"/>
    <hyperlink r:id="rId40" ref="I49"/>
    <hyperlink r:id="rId41" ref="I50"/>
    <hyperlink r:id="rId42" ref="I51"/>
    <hyperlink r:id="rId43" ref="J51"/>
    <hyperlink r:id="rId44" ref="K51"/>
    <hyperlink r:id="rId45" ref="I52"/>
    <hyperlink r:id="rId46" ref="I53"/>
    <hyperlink r:id="rId47" ref="I54"/>
    <hyperlink r:id="rId48" ref="I55"/>
    <hyperlink r:id="rId49" ref="I57"/>
    <hyperlink r:id="rId50" ref="I58"/>
    <hyperlink r:id="rId51" ref="I59"/>
    <hyperlink r:id="rId52" ref="J59"/>
    <hyperlink r:id="rId53" ref="K59"/>
    <hyperlink r:id="rId54" ref="I60"/>
    <hyperlink r:id="rId55" ref="I61"/>
    <hyperlink r:id="rId56" ref="J61"/>
    <hyperlink r:id="rId57" ref="K61"/>
    <hyperlink r:id="rId58" ref="I62"/>
    <hyperlink r:id="rId59" ref="I63"/>
    <hyperlink r:id="rId60" ref="I64"/>
    <hyperlink r:id="rId61" ref="I65"/>
    <hyperlink r:id="rId62" ref="J65"/>
    <hyperlink r:id="rId63" ref="K65"/>
    <hyperlink r:id="rId64" ref="I66"/>
    <hyperlink r:id="rId65" ref="I67"/>
    <hyperlink r:id="rId66" ref="I68"/>
    <hyperlink r:id="rId67" ref="I69"/>
    <hyperlink r:id="rId68" ref="I71"/>
    <hyperlink r:id="rId69" ref="I72"/>
    <hyperlink r:id="rId70" ref="I73"/>
    <hyperlink r:id="rId71" ref="J73"/>
    <hyperlink r:id="rId72" ref="K73"/>
    <hyperlink r:id="rId73" ref="I74"/>
    <hyperlink r:id="rId74" ref="I75"/>
    <hyperlink r:id="rId75" ref="I76"/>
    <hyperlink r:id="rId76" ref="J76"/>
    <hyperlink r:id="rId77" ref="K76"/>
    <hyperlink r:id="rId78" ref="J77"/>
    <hyperlink r:id="rId79" ref="I78"/>
    <hyperlink r:id="rId80" ref="I79"/>
    <hyperlink r:id="rId81" ref="I80"/>
    <hyperlink r:id="rId82" ref="J80"/>
    <hyperlink r:id="rId83" ref="K80"/>
    <hyperlink r:id="rId84" ref="I81"/>
    <hyperlink r:id="rId85" ref="I82"/>
    <hyperlink r:id="rId86" ref="I83"/>
    <hyperlink r:id="rId87" ref="I84"/>
    <hyperlink r:id="rId88" ref="I86"/>
    <hyperlink r:id="rId89" ref="I87"/>
    <hyperlink r:id="rId90" ref="I88"/>
    <hyperlink r:id="rId91" ref="J88"/>
    <hyperlink r:id="rId92" ref="K88"/>
    <hyperlink r:id="rId93" ref="I89"/>
    <hyperlink r:id="rId94" ref="I90"/>
    <hyperlink r:id="rId95" ref="J90"/>
    <hyperlink r:id="rId96" ref="K90"/>
    <hyperlink r:id="rId97" ref="I91"/>
    <hyperlink r:id="rId98" ref="I92"/>
    <hyperlink r:id="rId99" ref="I93"/>
    <hyperlink r:id="rId100" ref="I94"/>
    <hyperlink r:id="rId101" ref="J94"/>
    <hyperlink r:id="rId102" ref="K94"/>
    <hyperlink r:id="rId103" ref="I95"/>
    <hyperlink r:id="rId104" ref="I96"/>
    <hyperlink r:id="rId105" ref="I97"/>
    <hyperlink r:id="rId106" ref="I98"/>
  </hyperlinks>
  <printOptions gridLines="1" horizontalCentered="1"/>
  <pageMargins bottom="0.75" footer="0.0" header="0.0" left="0.7" right="0.7" top="0.75"/>
  <pageSetup fitToHeight="0" cellComments="atEnd" orientation="portrait" pageOrder="overThenDown"/>
  <drawing r:id="rId107"/>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64D79"/>
    <outlinePr summaryBelow="0" summaryRight="0"/>
  </sheetPr>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4.43" defaultRowHeight="15.75"/>
  <cols>
    <col customWidth="1" hidden="1" min="1" max="1" width="21.57"/>
    <col customWidth="1" hidden="1" min="2" max="2" width="14.0"/>
    <col customWidth="1" hidden="1" min="3" max="3" width="12.86"/>
    <col customWidth="1" hidden="1" min="4" max="4" width="81.43"/>
    <col customWidth="1" min="5" max="5" width="27.71"/>
    <col customWidth="1" min="6" max="6" width="27.57"/>
    <col customWidth="1" min="7" max="7" width="28.14"/>
    <col customWidth="1" min="8" max="8" width="31.86"/>
    <col customWidth="1" min="9" max="9" width="19.29"/>
    <col customWidth="1" min="10" max="10" width="17.86"/>
    <col customWidth="1" min="11" max="11" width="24.71"/>
    <col customWidth="1" min="12" max="12" width="20.14"/>
    <col customWidth="1" min="13" max="13" width="7.29"/>
    <col customWidth="1" min="14" max="14" width="84.86"/>
    <col customWidth="1" hidden="1" min="15" max="15" width="21.57"/>
    <col customWidth="1" min="16" max="16" width="21.57"/>
    <col customWidth="1" min="17" max="17" width="8.29"/>
  </cols>
  <sheetData>
    <row r="1" ht="36.0" customHeight="1">
      <c r="A1" s="142" t="s">
        <v>0</v>
      </c>
      <c r="B1" s="142" t="s">
        <v>2</v>
      </c>
      <c r="C1" s="142" t="s">
        <v>4</v>
      </c>
      <c r="D1" s="142" t="s">
        <v>6</v>
      </c>
      <c r="E1" s="141" t="s">
        <v>200</v>
      </c>
      <c r="F1" s="141" t="s">
        <v>201</v>
      </c>
      <c r="G1" s="141" t="s">
        <v>202</v>
      </c>
      <c r="H1" s="142" t="s">
        <v>203</v>
      </c>
      <c r="I1" s="141" t="s">
        <v>204</v>
      </c>
      <c r="J1" s="141" t="s">
        <v>205</v>
      </c>
      <c r="K1" s="141" t="s">
        <v>206</v>
      </c>
      <c r="L1" s="141" t="s">
        <v>207</v>
      </c>
      <c r="M1" s="141" t="s">
        <v>22</v>
      </c>
      <c r="N1" s="141" t="s">
        <v>208</v>
      </c>
      <c r="O1" s="141" t="s">
        <v>209</v>
      </c>
      <c r="P1" s="141" t="s">
        <v>395</v>
      </c>
      <c r="Q1" s="143"/>
    </row>
    <row r="2">
      <c r="A2" s="309"/>
      <c r="B2" s="310"/>
      <c r="C2" s="310"/>
      <c r="D2" s="311"/>
      <c r="E2" s="43" t="s">
        <v>274</v>
      </c>
      <c r="F2" s="133" t="s">
        <v>275</v>
      </c>
      <c r="G2" s="69" t="str">
        <f>HYPERLINK("https://learn.flglobal.org/users/checkout/auth","Rapid Transition to Online learning ")</f>
        <v>Rapid Transition to Online learning </v>
      </c>
      <c r="H2" s="190" t="str">
        <f>HYPERLINK("https://learn.flglobal.org/courses/NYCDOE-rtol-rapid-transition-to-online-learning-1","RTOL Webinar")</f>
        <v>RTOL Webinar</v>
      </c>
      <c r="I2" s="59" t="s">
        <v>276</v>
      </c>
      <c r="J2" s="133" t="s">
        <v>116</v>
      </c>
      <c r="K2" s="133" t="s">
        <v>278</v>
      </c>
      <c r="L2" s="69" t="str">
        <f>HYPERLINK("https://docs.google.com/document/d/1qDKHcd1eFN-KfOnjBTh8XRS2Tw3CUf1LfXSvC83eFOo/edit","RTOL Agenda")</f>
        <v>RTOL Agenda</v>
      </c>
      <c r="M2" s="283" t="s">
        <v>280</v>
      </c>
      <c r="N2" s="133" t="s">
        <v>118</v>
      </c>
      <c r="O2" s="43"/>
      <c r="P2" s="283" t="s">
        <v>280</v>
      </c>
      <c r="Q2" s="148"/>
    </row>
    <row r="3" hidden="1">
      <c r="A3" s="37"/>
      <c r="B3" s="81"/>
      <c r="C3" s="81"/>
      <c r="D3" s="101"/>
      <c r="E3" s="312">
        <v>43916.0</v>
      </c>
      <c r="F3" s="94" t="s">
        <v>398</v>
      </c>
      <c r="G3" s="152" t="s">
        <v>224</v>
      </c>
      <c r="H3" s="72" t="s">
        <v>399</v>
      </c>
      <c r="I3" s="59" t="s">
        <v>400</v>
      </c>
      <c r="J3" s="134" t="s">
        <v>401</v>
      </c>
      <c r="K3" s="313" t="s">
        <v>402</v>
      </c>
      <c r="L3" s="69" t="str">
        <f>HYPERLINK("https://docs.google.com/spreadsheets/d/12X-61HfLBxTxAESoAea0X2I4K1R-valRhC9TIkvFTzs/edit#gid=1312891686","DigIn Camp Beyond Basics Agenda")</f>
        <v>DigIn Camp Beyond Basics Agenda</v>
      </c>
      <c r="M3" s="314" t="s">
        <v>221</v>
      </c>
      <c r="N3" s="72" t="s">
        <v>405</v>
      </c>
      <c r="O3" s="315"/>
      <c r="P3" s="316"/>
      <c r="Q3" s="148"/>
    </row>
    <row r="4" hidden="1">
      <c r="A4" s="317"/>
      <c r="B4" s="318"/>
      <c r="C4" s="318"/>
      <c r="D4" s="318"/>
      <c r="E4" s="319">
        <v>43922.0</v>
      </c>
      <c r="F4" s="94" t="s">
        <v>406</v>
      </c>
      <c r="G4" s="152" t="s">
        <v>224</v>
      </c>
      <c r="H4" s="72" t="s">
        <v>408</v>
      </c>
      <c r="I4" s="59" t="s">
        <v>409</v>
      </c>
      <c r="J4" s="94" t="s">
        <v>116</v>
      </c>
      <c r="K4" s="94" t="s">
        <v>278</v>
      </c>
      <c r="L4" s="153" t="str">
        <f t="shared" ref="L4:L6" si="1">HYPERLINK("https://docs.google.com/spreadsheets/d/12X-61HfLBxTxAESoAea0X2I4K1R-valRhC9TIkvFTzs/edit#gid=0","DigIn Camp: Basic Training Agenda")</f>
        <v>DigIn Camp: Basic Training Agenda</v>
      </c>
      <c r="M4" s="316" t="s">
        <v>221</v>
      </c>
      <c r="N4" s="94" t="s">
        <v>410</v>
      </c>
      <c r="O4" s="64"/>
      <c r="P4" s="316"/>
      <c r="Q4" s="148"/>
    </row>
    <row r="5" hidden="1">
      <c r="A5" s="321"/>
      <c r="B5" s="316"/>
      <c r="C5" s="316"/>
      <c r="D5" s="316"/>
      <c r="E5" s="319">
        <v>43922.0</v>
      </c>
      <c r="F5" s="324" t="s">
        <v>414</v>
      </c>
      <c r="G5" s="152" t="s">
        <v>224</v>
      </c>
      <c r="H5" s="72" t="s">
        <v>408</v>
      </c>
      <c r="I5" s="59" t="s">
        <v>415</v>
      </c>
      <c r="J5" s="94" t="s">
        <v>116</v>
      </c>
      <c r="K5" s="94" t="s">
        <v>278</v>
      </c>
      <c r="L5" s="153" t="str">
        <f t="shared" si="1"/>
        <v>DigIn Camp: Basic Training Agenda</v>
      </c>
      <c r="M5" s="316" t="s">
        <v>221</v>
      </c>
      <c r="N5" s="94" t="s">
        <v>410</v>
      </c>
      <c r="O5" s="64"/>
      <c r="P5" s="316"/>
      <c r="Q5" s="148"/>
    </row>
    <row r="6" hidden="1">
      <c r="A6" s="321"/>
      <c r="B6" s="316"/>
      <c r="C6" s="316"/>
      <c r="D6" s="316"/>
      <c r="E6" s="319">
        <v>43923.0</v>
      </c>
      <c r="F6" s="94" t="s">
        <v>417</v>
      </c>
      <c r="G6" s="152" t="s">
        <v>224</v>
      </c>
      <c r="H6" s="72" t="s">
        <v>408</v>
      </c>
      <c r="I6" s="59" t="s">
        <v>409</v>
      </c>
      <c r="J6" s="94" t="s">
        <v>116</v>
      </c>
      <c r="K6" s="94" t="s">
        <v>278</v>
      </c>
      <c r="L6" s="153" t="str">
        <f t="shared" si="1"/>
        <v>DigIn Camp: Basic Training Agenda</v>
      </c>
      <c r="M6" s="316" t="s">
        <v>221</v>
      </c>
      <c r="N6" s="94" t="s">
        <v>410</v>
      </c>
      <c r="O6" s="64"/>
      <c r="P6" s="316"/>
      <c r="Q6" s="148"/>
    </row>
    <row r="7" hidden="1">
      <c r="A7" s="321"/>
      <c r="B7" s="316"/>
      <c r="C7" s="316"/>
      <c r="D7" s="316"/>
      <c r="E7" s="319">
        <v>43923.0</v>
      </c>
      <c r="F7" s="94" t="s">
        <v>419</v>
      </c>
      <c r="G7" s="152" t="s">
        <v>224</v>
      </c>
      <c r="H7" s="72" t="s">
        <v>408</v>
      </c>
      <c r="I7" s="59" t="s">
        <v>420</v>
      </c>
      <c r="J7" s="94" t="s">
        <v>116</v>
      </c>
      <c r="K7" s="94" t="s">
        <v>402</v>
      </c>
      <c r="L7" s="327" t="str">
        <f>HYPERLINK("https://docs.google.com/document/d/1Gne1Hzy9xMxuwbnF84ARTuuR1BHPvSrPd-_BI5lYMww/edit?usp=sharing","Digital Accessibility Makeover Agenda")</f>
        <v>Digital Accessibility Makeover Agenda</v>
      </c>
      <c r="M7" s="316" t="s">
        <v>221</v>
      </c>
      <c r="N7" s="134" t="s">
        <v>421</v>
      </c>
      <c r="O7" s="64"/>
      <c r="P7" s="316"/>
      <c r="Q7" s="148"/>
    </row>
    <row r="8" hidden="1">
      <c r="A8" s="321"/>
      <c r="B8" s="316"/>
      <c r="C8" s="316"/>
      <c r="D8" s="316"/>
      <c r="E8" s="150">
        <v>43924.0</v>
      </c>
      <c r="F8" s="94" t="s">
        <v>422</v>
      </c>
      <c r="G8" s="152" t="s">
        <v>224</v>
      </c>
      <c r="H8" s="72" t="s">
        <v>423</v>
      </c>
      <c r="I8" s="59" t="s">
        <v>424</v>
      </c>
      <c r="J8" s="94" t="s">
        <v>425</v>
      </c>
      <c r="K8" s="94" t="s">
        <v>402</v>
      </c>
      <c r="L8" s="328" t="s">
        <v>426</v>
      </c>
      <c r="M8" s="316" t="s">
        <v>221</v>
      </c>
      <c r="N8" s="94" t="s">
        <v>427</v>
      </c>
      <c r="O8" s="315" t="s">
        <v>428</v>
      </c>
      <c r="P8" s="316" t="s">
        <v>221</v>
      </c>
      <c r="Q8" s="143"/>
    </row>
    <row r="9" hidden="1">
      <c r="A9" s="321"/>
      <c r="B9" s="316"/>
      <c r="C9" s="316"/>
      <c r="D9" s="316"/>
      <c r="E9" s="319">
        <v>43930.0</v>
      </c>
      <c r="F9" s="94" t="s">
        <v>430</v>
      </c>
      <c r="G9" s="152" t="s">
        <v>224</v>
      </c>
      <c r="H9" s="72" t="s">
        <v>431</v>
      </c>
      <c r="I9" s="59" t="s">
        <v>424</v>
      </c>
      <c r="J9" s="94" t="s">
        <v>116</v>
      </c>
      <c r="K9" s="94" t="s">
        <v>432</v>
      </c>
      <c r="L9" s="153" t="str">
        <f>HYPERLINK("https://docs.google.com/document/d/1Te4oUIrstJiNjg_K2kqzVq9gyTFV8k6uGCeO1G5y2Fs/edit?usp=sharing","Website Makeover Agenda")</f>
        <v>Website Makeover Agenda</v>
      </c>
      <c r="M9" s="316" t="s">
        <v>221</v>
      </c>
      <c r="N9" s="94" t="s">
        <v>434</v>
      </c>
      <c r="O9" s="64"/>
      <c r="P9" s="316" t="s">
        <v>280</v>
      </c>
      <c r="Q9" s="148"/>
    </row>
    <row r="10" hidden="1">
      <c r="A10" s="329"/>
      <c r="B10" s="330"/>
      <c r="C10" s="330"/>
      <c r="D10" s="331"/>
      <c r="E10" s="332">
        <v>43936.0</v>
      </c>
      <c r="F10" s="43" t="s">
        <v>435</v>
      </c>
      <c r="G10" s="152" t="s">
        <v>224</v>
      </c>
      <c r="H10" s="72" t="s">
        <v>408</v>
      </c>
      <c r="I10" s="314" t="s">
        <v>436</v>
      </c>
      <c r="J10" s="314" t="s">
        <v>437</v>
      </c>
      <c r="K10" s="314" t="s">
        <v>402</v>
      </c>
      <c r="L10" s="131" t="s">
        <v>438</v>
      </c>
      <c r="M10" s="314" t="s">
        <v>221</v>
      </c>
      <c r="N10" s="333" t="s">
        <v>439</v>
      </c>
      <c r="O10" s="314" t="s">
        <v>428</v>
      </c>
      <c r="P10" s="314" t="s">
        <v>221</v>
      </c>
      <c r="Q10" s="148"/>
    </row>
    <row r="11" ht="123.0" hidden="1" customHeight="1">
      <c r="A11" s="37"/>
      <c r="B11" s="81"/>
      <c r="C11" s="81"/>
      <c r="D11" s="101"/>
      <c r="E11" s="312">
        <v>43938.0</v>
      </c>
      <c r="F11" s="94" t="s">
        <v>440</v>
      </c>
      <c r="G11" s="152" t="s">
        <v>224</v>
      </c>
      <c r="H11" s="72" t="s">
        <v>399</v>
      </c>
      <c r="I11" s="59" t="s">
        <v>409</v>
      </c>
      <c r="J11" s="134" t="s">
        <v>401</v>
      </c>
      <c r="K11" s="313" t="s">
        <v>402</v>
      </c>
      <c r="L11" s="153" t="str">
        <f>HYPERLINK("https://docs.google.com/spreadsheets/d/12X-61HfLBxTxAESoAea0X2I4K1R-valRhC9TIkvFTzs/edit#gid=0","DigIn Camp: Basic Training Agenda")</f>
        <v>DigIn Camp: Basic Training Agenda</v>
      </c>
      <c r="M11" s="314" t="s">
        <v>221</v>
      </c>
      <c r="N11" s="94" t="s">
        <v>410</v>
      </c>
      <c r="O11" s="315"/>
      <c r="P11" s="316"/>
      <c r="Q11" s="148"/>
    </row>
    <row r="12" hidden="1">
      <c r="A12" s="329"/>
      <c r="B12" s="330"/>
      <c r="C12" s="330"/>
      <c r="D12" s="331"/>
      <c r="E12" s="312">
        <v>43938.0</v>
      </c>
      <c r="F12" s="94" t="s">
        <v>442</v>
      </c>
      <c r="G12" s="152" t="s">
        <v>224</v>
      </c>
      <c r="H12" s="72" t="s">
        <v>399</v>
      </c>
      <c r="I12" s="59" t="s">
        <v>444</v>
      </c>
      <c r="J12" s="134" t="s">
        <v>401</v>
      </c>
      <c r="K12" s="313" t="s">
        <v>402</v>
      </c>
      <c r="L12" s="69" t="str">
        <f>HYPERLINK("https://docs.google.com/spreadsheets/d/12X-61HfLBxTxAESoAea0X2I4K1R-valRhC9TIkvFTzs/edit#gid=1312891686","DigIn Camp Beyond Basics Agenda")</f>
        <v>DigIn Camp Beyond Basics Agenda</v>
      </c>
      <c r="M12" s="314" t="s">
        <v>221</v>
      </c>
      <c r="N12" s="72" t="s">
        <v>405</v>
      </c>
      <c r="O12" s="314"/>
      <c r="P12" s="314"/>
      <c r="Q12" s="148"/>
    </row>
    <row r="13" hidden="1">
      <c r="A13" s="329"/>
      <c r="B13" s="330"/>
      <c r="C13" s="330"/>
      <c r="D13" s="331"/>
      <c r="E13" s="332">
        <v>43943.0</v>
      </c>
      <c r="F13" s="43" t="s">
        <v>445</v>
      </c>
      <c r="G13" s="152" t="s">
        <v>224</v>
      </c>
      <c r="H13" s="335" t="s">
        <v>446</v>
      </c>
      <c r="I13" s="59" t="s">
        <v>409</v>
      </c>
      <c r="J13" s="314" t="s">
        <v>437</v>
      </c>
      <c r="K13" s="43" t="s">
        <v>402</v>
      </c>
      <c r="L13" s="131" t="s">
        <v>438</v>
      </c>
      <c r="M13" s="314" t="s">
        <v>221</v>
      </c>
      <c r="N13" s="333" t="s">
        <v>439</v>
      </c>
      <c r="O13" s="314"/>
      <c r="P13" s="314" t="s">
        <v>221</v>
      </c>
      <c r="Q13" s="148"/>
    </row>
    <row r="14" hidden="1">
      <c r="A14" s="329"/>
      <c r="B14" s="330"/>
      <c r="C14" s="330"/>
      <c r="D14" s="331"/>
      <c r="E14" s="332">
        <v>43943.0</v>
      </c>
      <c r="F14" s="133" t="s">
        <v>447</v>
      </c>
      <c r="G14" s="152" t="s">
        <v>224</v>
      </c>
      <c r="H14" s="335" t="s">
        <v>446</v>
      </c>
      <c r="I14" s="59" t="s">
        <v>448</v>
      </c>
      <c r="J14" s="314" t="s">
        <v>437</v>
      </c>
      <c r="K14" s="43" t="s">
        <v>402</v>
      </c>
      <c r="L14" s="54" t="s">
        <v>447</v>
      </c>
      <c r="M14" s="314" t="s">
        <v>221</v>
      </c>
      <c r="N14" s="333" t="s">
        <v>439</v>
      </c>
      <c r="O14" s="314"/>
      <c r="P14" s="314" t="s">
        <v>221</v>
      </c>
      <c r="Q14" s="148"/>
    </row>
    <row r="15">
      <c r="A15" s="321"/>
      <c r="B15" s="316"/>
      <c r="C15" s="316"/>
      <c r="D15" s="316"/>
      <c r="E15" s="319">
        <v>43952.0</v>
      </c>
      <c r="F15" s="94" t="s">
        <v>417</v>
      </c>
      <c r="G15" s="153" t="str">
        <f>HYPERLINK("https://docs.google.com/forms/d/1y3F2tQtdoUJKU-zQr61w4P3604rhWpV7daZ2QZLA7Ko/viewform?edit_requested=true","Register For May 1 Basic Training")</f>
        <v>Register For May 1 Basic Training</v>
      </c>
      <c r="H15" s="72" t="s">
        <v>452</v>
      </c>
      <c r="I15" s="59" t="s">
        <v>409</v>
      </c>
      <c r="J15" s="94" t="s">
        <v>116</v>
      </c>
      <c r="K15" s="94" t="s">
        <v>278</v>
      </c>
      <c r="L15" s="153" t="str">
        <f>HYPERLINK("https://docs.google.com/spreadsheets/d/12X-61HfLBxTxAESoAea0X2I4K1R-valRhC9TIkvFTzs/edit#gid=0","DigIn Camp: Basic Training Agenda")</f>
        <v>DigIn Camp: Basic Training Agenda</v>
      </c>
      <c r="M15" s="316" t="s">
        <v>221</v>
      </c>
      <c r="N15" s="94" t="s">
        <v>459</v>
      </c>
      <c r="O15" s="64"/>
      <c r="P15" s="316" t="s">
        <v>221</v>
      </c>
      <c r="Q15" s="148"/>
    </row>
    <row r="16">
      <c r="A16" s="321"/>
      <c r="B16" s="316"/>
      <c r="C16" s="316"/>
      <c r="D16" s="316"/>
      <c r="E16" s="319">
        <v>43952.0</v>
      </c>
      <c r="F16" s="94" t="s">
        <v>447</v>
      </c>
      <c r="G16" s="153" t="str">
        <f>HYPERLINK("https://docs.google.com/forms/d/1y3F2tQtdoUJKU-zQr61w4P3604rhWpV7daZ2QZLA7Ko/viewform?edit_requested=true","Register for May 1 SiteImprove Academy")</f>
        <v>Register for May 1 SiteImprove Academy</v>
      </c>
      <c r="H16" s="72" t="s">
        <v>408</v>
      </c>
      <c r="I16" s="59" t="s">
        <v>460</v>
      </c>
      <c r="J16" s="94" t="s">
        <v>116</v>
      </c>
      <c r="K16" s="94" t="s">
        <v>278</v>
      </c>
      <c r="L16" s="153" t="str">
        <f t="shared" ref="L16:L17" si="2">HYPERLINK("https://drive.google.com/file/d/14RCuMOFtZg9l4eB4Ej6Tksi74U8hdQL0/view","Digital Accessibility Certification via SiteImprove Academy")</f>
        <v>Digital Accessibility Certification via SiteImprove Academy</v>
      </c>
      <c r="M16" s="316" t="s">
        <v>221</v>
      </c>
      <c r="N16" s="134" t="s">
        <v>421</v>
      </c>
      <c r="O16" s="64"/>
      <c r="P16" s="316" t="s">
        <v>280</v>
      </c>
      <c r="Q16" s="148"/>
    </row>
    <row r="17">
      <c r="A17" s="321"/>
      <c r="B17" s="316"/>
      <c r="C17" s="316"/>
      <c r="D17" s="316"/>
      <c r="E17" s="319">
        <v>43957.0</v>
      </c>
      <c r="F17" s="94" t="s">
        <v>447</v>
      </c>
      <c r="G17" s="153" t="str">
        <f>HYPERLINK("https://docs.google.com/forms/d/1y3F2tQtdoUJKU-zQr61w4P3604rhWpV7daZ2QZLA7Ko/viewform?edit_requested=true","Register for May 6 SiteImprove Academy")</f>
        <v>Register for May 6 SiteImprove Academy</v>
      </c>
      <c r="H17" s="72" t="s">
        <v>452</v>
      </c>
      <c r="I17" s="59" t="s">
        <v>444</v>
      </c>
      <c r="J17" s="94" t="s">
        <v>116</v>
      </c>
      <c r="K17" s="94" t="s">
        <v>278</v>
      </c>
      <c r="L17" s="153" t="str">
        <f t="shared" si="2"/>
        <v>Digital Accessibility Certification via SiteImprove Academy</v>
      </c>
      <c r="M17" s="316" t="s">
        <v>221</v>
      </c>
      <c r="N17" s="94" t="s">
        <v>462</v>
      </c>
      <c r="O17" s="64"/>
      <c r="P17" s="316" t="s">
        <v>221</v>
      </c>
      <c r="Q17" s="148"/>
    </row>
    <row r="18">
      <c r="A18" s="321"/>
      <c r="B18" s="316"/>
      <c r="C18" s="316"/>
      <c r="D18" s="316"/>
      <c r="E18" s="319">
        <v>43957.0</v>
      </c>
      <c r="F18" s="94" t="s">
        <v>417</v>
      </c>
      <c r="G18" s="153" t="str">
        <f>HYPERLINK("https://docs.google.com/forms/d/1y3F2tQtdoUJKU-zQr61w4P3604rhWpV7daZ2QZLA7Ko/viewform?edit_requested=true","Register For May 6 Basic Training")</f>
        <v>Register For May 6 Basic Training</v>
      </c>
      <c r="H18" s="72" t="s">
        <v>452</v>
      </c>
      <c r="I18" s="59" t="s">
        <v>409</v>
      </c>
      <c r="J18" s="94" t="s">
        <v>116</v>
      </c>
      <c r="K18" s="94" t="s">
        <v>278</v>
      </c>
      <c r="L18" s="153" t="str">
        <f>HYPERLINK("https://docs.google.com/spreadsheets/d/12X-61HfLBxTxAESoAea0X2I4K1R-valRhC9TIkvFTzs/edit#gid=0","DigIn Camp: Basic Training Agenda")</f>
        <v>DigIn Camp: Basic Training Agenda</v>
      </c>
      <c r="M18" s="316" t="s">
        <v>221</v>
      </c>
      <c r="N18" s="94" t="s">
        <v>410</v>
      </c>
      <c r="O18" s="64"/>
      <c r="P18" s="316" t="s">
        <v>221</v>
      </c>
      <c r="Q18" s="148"/>
    </row>
    <row r="19">
      <c r="A19" s="128"/>
      <c r="B19" s="57" t="s">
        <v>466</v>
      </c>
      <c r="C19" s="57" t="s">
        <v>467</v>
      </c>
      <c r="D19" s="129" t="s">
        <v>468</v>
      </c>
      <c r="E19" s="210">
        <v>43957.0</v>
      </c>
      <c r="F19" s="43" t="s">
        <v>469</v>
      </c>
      <c r="G19" s="69" t="str">
        <f>HYPERLINK("http://s.apple.com/dE0a9r5z0Y","Register for May 6 Access Abilities")</f>
        <v>Register for May 6 Access Abilities</v>
      </c>
      <c r="H19" s="43" t="s">
        <v>470</v>
      </c>
      <c r="I19" s="57" t="s">
        <v>471</v>
      </c>
      <c r="J19" s="43" t="s">
        <v>472</v>
      </c>
      <c r="K19" s="57" t="s">
        <v>473</v>
      </c>
      <c r="L19" s="131" t="s">
        <v>469</v>
      </c>
      <c r="M19" s="57" t="s">
        <v>280</v>
      </c>
      <c r="N19" s="43" t="s">
        <v>474</v>
      </c>
      <c r="O19" s="43" t="s">
        <v>428</v>
      </c>
      <c r="P19" s="283" t="s">
        <v>280</v>
      </c>
      <c r="Q19" s="344"/>
    </row>
    <row r="20">
      <c r="A20" s="128"/>
      <c r="B20" s="57"/>
      <c r="C20" s="57"/>
      <c r="D20" s="129"/>
      <c r="E20" s="210">
        <v>43959.0</v>
      </c>
      <c r="F20" s="133" t="s">
        <v>417</v>
      </c>
      <c r="G20" s="69" t="str">
        <f>HYPERLINK("http://s.apple.com/dE0a9r5z0Y","Register for May 8 Basic Training")</f>
        <v>Register for May 8 Basic Training</v>
      </c>
      <c r="H20" s="72" t="s">
        <v>452</v>
      </c>
      <c r="I20" s="59" t="s">
        <v>409</v>
      </c>
      <c r="J20" s="133" t="s">
        <v>116</v>
      </c>
      <c r="K20" s="133" t="s">
        <v>278</v>
      </c>
      <c r="L20" s="69" t="str">
        <f>HYPERLINK("https://docs.google.com/spreadsheets/d/12X-61HfLBxTxAESoAea0X2I4K1R-valRhC9TIkvFTzs/edit#gid=0","DigIn Camp: Basic Training Agenda")</f>
        <v>DigIn Camp: Basic Training Agenda</v>
      </c>
      <c r="M20" s="283" t="s">
        <v>221</v>
      </c>
      <c r="N20" s="133" t="s">
        <v>410</v>
      </c>
      <c r="O20" s="43"/>
      <c r="P20" s="283" t="s">
        <v>221</v>
      </c>
      <c r="Q20" s="344"/>
    </row>
    <row r="21">
      <c r="A21" s="128"/>
      <c r="B21" s="57"/>
      <c r="C21" s="57"/>
      <c r="D21" s="129"/>
      <c r="E21" s="210">
        <v>43959.0</v>
      </c>
      <c r="F21" s="133" t="s">
        <v>447</v>
      </c>
      <c r="G21" s="69" t="str">
        <f>HYPERLINK("http://s.apple.com/dE0a9r5z0Y","Register for May 8 SiteImprove Academy")</f>
        <v>Register for May 8 SiteImprove Academy</v>
      </c>
      <c r="H21" s="72" t="s">
        <v>452</v>
      </c>
      <c r="I21" s="59" t="s">
        <v>444</v>
      </c>
      <c r="J21" s="133" t="s">
        <v>116</v>
      </c>
      <c r="K21" s="133" t="s">
        <v>278</v>
      </c>
      <c r="L21" s="69" t="str">
        <f t="shared" ref="L21:L22" si="3">HYPERLINK("https://drive.google.com/file/d/14RCuMOFtZg9l4eB4Ej6Tksi74U8hdQL0/view","Digital Accessibility Certification via SiteImprove Academy")</f>
        <v>Digital Accessibility Certification via SiteImprove Academy</v>
      </c>
      <c r="M21" s="283" t="s">
        <v>221</v>
      </c>
      <c r="N21" s="133" t="s">
        <v>462</v>
      </c>
      <c r="O21" s="43"/>
      <c r="P21" s="283" t="s">
        <v>221</v>
      </c>
      <c r="Q21" s="344"/>
    </row>
    <row r="22">
      <c r="A22" s="128"/>
      <c r="B22" s="57"/>
      <c r="C22" s="57"/>
      <c r="D22" s="129"/>
      <c r="E22" s="210">
        <v>43964.0</v>
      </c>
      <c r="F22" s="133" t="s">
        <v>447</v>
      </c>
      <c r="G22" s="69" t="str">
        <f>HYPERLINK("http://s.apple.com/dE0a9r5z0Y","Register for May 13 SiteImprove Academy")</f>
        <v>Register for May 13 SiteImprove Academy</v>
      </c>
      <c r="H22" s="72" t="s">
        <v>452</v>
      </c>
      <c r="I22" s="59" t="s">
        <v>444</v>
      </c>
      <c r="J22" s="133" t="s">
        <v>116</v>
      </c>
      <c r="K22" s="133" t="s">
        <v>278</v>
      </c>
      <c r="L22" s="69" t="str">
        <f t="shared" si="3"/>
        <v>Digital Accessibility Certification via SiteImprove Academy</v>
      </c>
      <c r="M22" s="283" t="s">
        <v>221</v>
      </c>
      <c r="N22" s="133" t="s">
        <v>462</v>
      </c>
      <c r="O22" s="43"/>
      <c r="P22" s="283" t="s">
        <v>221</v>
      </c>
      <c r="Q22" s="344"/>
    </row>
    <row r="23">
      <c r="A23" s="128"/>
      <c r="B23" s="57"/>
      <c r="C23" s="57"/>
      <c r="D23" s="129"/>
      <c r="E23" s="210">
        <v>43964.0</v>
      </c>
      <c r="F23" s="133" t="s">
        <v>417</v>
      </c>
      <c r="G23" s="69" t="str">
        <f>HYPERLINK("http://s.apple.com/dE0a9r5z0Y","Register for May 8 Basic Training")</f>
        <v>Register for May 8 Basic Training</v>
      </c>
      <c r="H23" s="72" t="s">
        <v>452</v>
      </c>
      <c r="I23" s="59" t="s">
        <v>409</v>
      </c>
      <c r="J23" s="133" t="s">
        <v>116</v>
      </c>
      <c r="K23" s="133" t="s">
        <v>278</v>
      </c>
      <c r="L23" s="69" t="str">
        <f>HYPERLINK("https://docs.google.com/spreadsheets/d/12X-61HfLBxTxAESoAea0X2I4K1R-valRhC9TIkvFTzs/edit#gid=0","DigIn Camp: Basic Training Agenda")</f>
        <v>DigIn Camp: Basic Training Agenda</v>
      </c>
      <c r="M23" s="283" t="s">
        <v>221</v>
      </c>
      <c r="N23" s="133" t="s">
        <v>410</v>
      </c>
      <c r="O23" s="43"/>
      <c r="P23" s="283" t="s">
        <v>221</v>
      </c>
      <c r="Q23" s="344"/>
    </row>
    <row r="24">
      <c r="A24" s="309"/>
      <c r="B24" s="310"/>
      <c r="C24" s="310"/>
      <c r="D24" s="311"/>
      <c r="E24" s="210">
        <v>43971.0</v>
      </c>
      <c r="F24" s="133" t="s">
        <v>481</v>
      </c>
      <c r="G24" s="153" t="str">
        <f>HYPERLINK("https://docs.google.com/forms/d/1y3F2tQtdoUJKU-zQr61w4P3604rhWpV7daZ2QZLA7Ko/viewform?edit_requested=true","Register for May 20 Website Image Makeover")</f>
        <v>Register for May 20 Website Image Makeover</v>
      </c>
      <c r="H24" s="72" t="s">
        <v>452</v>
      </c>
      <c r="I24" s="59" t="s">
        <v>424</v>
      </c>
      <c r="J24" s="133" t="s">
        <v>116</v>
      </c>
      <c r="K24" s="133" t="s">
        <v>278</v>
      </c>
      <c r="L24" s="69" t="str">
        <f t="shared" ref="L24:L25" si="4">HYPERLINK("https://docs.google.com/spreadsheets/d/12X-61HfLBxTxAESoAea0X2I4K1R-valRhC9TIkvFTzs/edit#gid=1848746681","Website Image Makeover Agenda")</f>
        <v>Website Image Makeover Agenda</v>
      </c>
      <c r="M24" s="283" t="s">
        <v>221</v>
      </c>
      <c r="N24" s="345" t="s">
        <v>434</v>
      </c>
      <c r="O24" s="43"/>
      <c r="P24" s="283"/>
      <c r="Q24" s="344"/>
    </row>
    <row r="25">
      <c r="A25" s="309"/>
      <c r="B25" s="310"/>
      <c r="C25" s="310"/>
      <c r="D25" s="311"/>
      <c r="E25" s="210">
        <v>43973.0</v>
      </c>
      <c r="F25" s="133" t="s">
        <v>481</v>
      </c>
      <c r="G25" s="153" t="str">
        <f>HYPERLINK("https://docs.google.com/forms/d/1y3F2tQtdoUJKU-zQr61w4P3604rhWpV7daZ2QZLA7Ko/viewform?edit_requested=true","Register for May 22 Website Image Makeover")</f>
        <v>Register for May 22 Website Image Makeover</v>
      </c>
      <c r="H25" s="335" t="s">
        <v>446</v>
      </c>
      <c r="I25" s="59" t="s">
        <v>424</v>
      </c>
      <c r="J25" s="133" t="s">
        <v>116</v>
      </c>
      <c r="K25" s="133" t="s">
        <v>278</v>
      </c>
      <c r="L25" s="69" t="str">
        <f t="shared" si="4"/>
        <v>Website Image Makeover Agenda</v>
      </c>
      <c r="M25" s="283" t="s">
        <v>221</v>
      </c>
      <c r="N25" s="347" t="s">
        <v>434</v>
      </c>
      <c r="O25" s="43"/>
      <c r="P25" s="283"/>
      <c r="Q25" s="344"/>
    </row>
    <row r="26">
      <c r="A26" s="146"/>
      <c r="B26" s="146"/>
      <c r="C26" s="146"/>
      <c r="D26" s="146"/>
      <c r="E26" s="146"/>
      <c r="F26" s="146"/>
      <c r="G26" s="146"/>
      <c r="H26" s="146"/>
      <c r="I26" s="146"/>
      <c r="J26" s="146"/>
      <c r="K26" s="146"/>
      <c r="L26" s="146"/>
      <c r="M26" s="146"/>
      <c r="N26" s="146"/>
      <c r="O26" s="146"/>
      <c r="P26" s="146"/>
      <c r="Q26" s="146"/>
    </row>
  </sheetData>
  <customSheetViews>
    <customSheetView guid="{1E644146-47CD-4DDF-95CB-6C62E2CF7EBB}" filter="1" showAutoFilter="1">
      <autoFilter ref="$E$1:$P$3">
        <filterColumn colId="1">
          <filters>
            <filter val="Rapid Transition to Online Learning (RTOL)"/>
            <filter val="Digital Inclusion (DigIn) Camp: Beyond Basics Training"/>
          </filters>
        </filterColumn>
      </autoFilter>
    </customSheetView>
    <customSheetView guid="{16D382A3-5D5E-4D74-BAF3-BD542623D867}" filter="1" showAutoFilter="1">
      <autoFilter ref="$E$1:$P$26">
        <filterColumn colId="5">
          <filters blank="1">
            <filter val="DIIT &amp; eChalk"/>
            <filter val="DIIT, Google, &amp; Project Recess"/>
            <filter val="DIIT and eChalk"/>
          </filters>
        </filterColumn>
      </autoFilter>
    </customSheetView>
  </customSheetViews>
  <hyperlinks>
    <hyperlink r:id="rId1" ref="D19"/>
    <hyperlink r:id="rId2" ref="L19"/>
  </hyperlinks>
  <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outlinePr summaryBelow="0" summaryRight="0"/>
    <pageSetUpPr fitToPage="1"/>
  </sheetPr>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4.43" defaultRowHeight="15.75"/>
  <cols>
    <col customWidth="1" hidden="1" min="1" max="1" width="21.57"/>
    <col customWidth="1" hidden="1" min="2" max="2" width="14.0"/>
    <col customWidth="1" hidden="1" min="3" max="3" width="12.86"/>
    <col customWidth="1" hidden="1" min="4" max="4" width="21.57"/>
    <col customWidth="1" min="5" max="5" width="27.0"/>
    <col customWidth="1" min="6" max="6" width="31.14"/>
    <col customWidth="1" min="7" max="7" width="15.86"/>
    <col customWidth="1" min="8" max="8" width="32.43"/>
    <col customWidth="1" min="9" max="9" width="19.29"/>
    <col customWidth="1" min="10" max="10" width="15.86"/>
    <col customWidth="1" min="11" max="11" width="16.57"/>
    <col customWidth="1" min="12" max="12" width="11.0"/>
    <col customWidth="1" min="13" max="13" width="7.0"/>
    <col customWidth="1" min="14" max="14" width="92.57"/>
    <col customWidth="1" min="15" max="15" width="21.57"/>
    <col customWidth="1" min="16" max="16" width="8.29"/>
    <col customWidth="1" hidden="1" min="17" max="17" width="21.57"/>
  </cols>
  <sheetData>
    <row r="1" ht="36.0" customHeight="1">
      <c r="A1" s="142" t="s">
        <v>0</v>
      </c>
      <c r="B1" s="142" t="s">
        <v>2</v>
      </c>
      <c r="C1" s="142" t="s">
        <v>4</v>
      </c>
      <c r="D1" s="142" t="s">
        <v>6</v>
      </c>
      <c r="E1" s="177" t="s">
        <v>9</v>
      </c>
      <c r="F1" s="141" t="s">
        <v>201</v>
      </c>
      <c r="G1" s="141" t="s">
        <v>202</v>
      </c>
      <c r="H1" s="142" t="s">
        <v>203</v>
      </c>
      <c r="I1" s="141" t="s">
        <v>204</v>
      </c>
      <c r="J1" s="141" t="s">
        <v>205</v>
      </c>
      <c r="K1" s="141" t="s">
        <v>206</v>
      </c>
      <c r="L1" s="141" t="s">
        <v>207</v>
      </c>
      <c r="M1" s="141" t="s">
        <v>22</v>
      </c>
      <c r="N1" s="182" t="s">
        <v>208</v>
      </c>
      <c r="O1" s="141" t="s">
        <v>209</v>
      </c>
      <c r="P1" s="143"/>
      <c r="Q1" s="349"/>
    </row>
    <row r="2">
      <c r="A2" s="309"/>
      <c r="B2" s="310"/>
      <c r="C2" s="310"/>
      <c r="D2" s="311"/>
      <c r="E2" s="43" t="s">
        <v>274</v>
      </c>
      <c r="F2" s="133" t="s">
        <v>275</v>
      </c>
      <c r="G2" s="69" t="str">
        <f>HYPERLINK("https://learn.flglobal.org/users/checkout/auth","Rapid Transition to Online learning ")</f>
        <v>Rapid Transition to Online learning </v>
      </c>
      <c r="H2" s="190" t="str">
        <f>HYPERLINK("https://learn.flglobal.org/courses/NYCDOE-rtol-rapid-transition-to-online-learning-1","RTOL Webinar")</f>
        <v>RTOL Webinar</v>
      </c>
      <c r="I2" s="59" t="s">
        <v>276</v>
      </c>
      <c r="J2" s="133" t="s">
        <v>116</v>
      </c>
      <c r="K2" s="133" t="s">
        <v>278</v>
      </c>
      <c r="L2" s="69" t="str">
        <f>HYPERLINK("https://docs.google.com/document/d/1qDKHcd1eFN-KfOnjBTh8XRS2Tw3CUf1LfXSvC83eFOo/edit","RTOL Agenda")</f>
        <v>RTOL Agenda</v>
      </c>
      <c r="M2" s="283" t="s">
        <v>280</v>
      </c>
      <c r="N2" s="133" t="s">
        <v>118</v>
      </c>
      <c r="O2" s="43"/>
      <c r="P2" s="148"/>
      <c r="Q2" s="283" t="s">
        <v>280</v>
      </c>
    </row>
    <row r="3" hidden="1">
      <c r="A3" s="37"/>
      <c r="B3" s="81" t="s">
        <v>466</v>
      </c>
      <c r="C3" s="81" t="s">
        <v>467</v>
      </c>
      <c r="D3" s="101" t="s">
        <v>468</v>
      </c>
      <c r="E3" s="353">
        <v>43901.0</v>
      </c>
      <c r="F3" s="340" t="s">
        <v>492</v>
      </c>
      <c r="G3" s="78" t="s">
        <v>224</v>
      </c>
      <c r="H3" s="340" t="s">
        <v>470</v>
      </c>
      <c r="I3" s="363" t="s">
        <v>471</v>
      </c>
      <c r="J3" s="363" t="s">
        <v>472</v>
      </c>
      <c r="K3" s="363" t="s">
        <v>494</v>
      </c>
      <c r="L3" s="364" t="s">
        <v>492</v>
      </c>
      <c r="M3" s="363" t="s">
        <v>280</v>
      </c>
      <c r="N3" s="365" t="s">
        <v>495</v>
      </c>
      <c r="O3" s="64" t="s">
        <v>496</v>
      </c>
      <c r="P3" s="148"/>
      <c r="Q3" s="148"/>
    </row>
    <row r="4" hidden="1">
      <c r="A4" s="42"/>
      <c r="B4" s="44" t="s">
        <v>466</v>
      </c>
      <c r="C4" s="44" t="s">
        <v>467</v>
      </c>
      <c r="D4" s="46" t="s">
        <v>468</v>
      </c>
      <c r="E4" s="353">
        <v>43910.0</v>
      </c>
      <c r="F4" s="340" t="s">
        <v>497</v>
      </c>
      <c r="G4" s="152" t="s">
        <v>224</v>
      </c>
      <c r="H4" s="340" t="s">
        <v>470</v>
      </c>
      <c r="I4" s="340" t="s">
        <v>498</v>
      </c>
      <c r="J4" s="340" t="s">
        <v>472</v>
      </c>
      <c r="K4" s="340" t="s">
        <v>499</v>
      </c>
      <c r="L4" s="340" t="s">
        <v>500</v>
      </c>
      <c r="M4" s="340" t="s">
        <v>280</v>
      </c>
      <c r="N4" s="365" t="s">
        <v>501</v>
      </c>
      <c r="O4" s="64" t="s">
        <v>502</v>
      </c>
      <c r="P4" s="148"/>
      <c r="Q4" s="148"/>
    </row>
    <row r="5">
      <c r="A5" s="37"/>
      <c r="B5" s="81" t="s">
        <v>503</v>
      </c>
      <c r="C5" s="81" t="s">
        <v>504</v>
      </c>
      <c r="D5" s="101" t="s">
        <v>505</v>
      </c>
      <c r="E5" s="293">
        <v>43916.0</v>
      </c>
      <c r="F5" s="44" t="s">
        <v>506</v>
      </c>
      <c r="G5" s="136" t="s">
        <v>507</v>
      </c>
      <c r="H5" s="44" t="s">
        <v>508</v>
      </c>
      <c r="I5" s="81" t="s">
        <v>509</v>
      </c>
      <c r="J5" s="81" t="s">
        <v>49</v>
      </c>
      <c r="K5" s="81" t="s">
        <v>494</v>
      </c>
      <c r="L5" s="80" t="str">
        <f>HYPERLINK("https://docs.google.com/document/d/1PK1CopTJ9X1RjfQP-dfu4OqaMbAGx1IOLMs4rnPLngM/edit#heading=h.c9r63tridy78","GEG AGENDA")</f>
        <v>GEG AGENDA</v>
      </c>
      <c r="M5" s="81" t="s">
        <v>221</v>
      </c>
      <c r="N5" s="53" t="s">
        <v>510</v>
      </c>
      <c r="O5" s="64" t="s">
        <v>511</v>
      </c>
      <c r="P5" s="148"/>
      <c r="Q5" s="148"/>
    </row>
    <row r="6">
      <c r="A6" s="37"/>
      <c r="B6" s="81" t="s">
        <v>466</v>
      </c>
      <c r="C6" s="81" t="s">
        <v>467</v>
      </c>
      <c r="D6" s="101" t="s">
        <v>468</v>
      </c>
      <c r="E6" s="293">
        <v>43923.0</v>
      </c>
      <c r="F6" s="64" t="s">
        <v>513</v>
      </c>
      <c r="G6" s="111" t="s">
        <v>514</v>
      </c>
      <c r="H6" s="44" t="s">
        <v>470</v>
      </c>
      <c r="I6" s="81" t="s">
        <v>471</v>
      </c>
      <c r="J6" s="81" t="s">
        <v>472</v>
      </c>
      <c r="K6" s="81" t="s">
        <v>494</v>
      </c>
      <c r="L6" s="54" t="s">
        <v>513</v>
      </c>
      <c r="M6" s="81" t="s">
        <v>280</v>
      </c>
      <c r="N6" s="53" t="s">
        <v>515</v>
      </c>
      <c r="O6" s="64" t="s">
        <v>516</v>
      </c>
      <c r="P6" s="148"/>
      <c r="Q6" s="148"/>
    </row>
    <row r="7">
      <c r="A7" s="42"/>
      <c r="B7" s="44" t="s">
        <v>466</v>
      </c>
      <c r="C7" s="44" t="s">
        <v>467</v>
      </c>
      <c r="D7" s="46" t="s">
        <v>468</v>
      </c>
      <c r="E7" s="293">
        <v>43945.0</v>
      </c>
      <c r="F7" s="44" t="s">
        <v>497</v>
      </c>
      <c r="G7" s="54" t="s">
        <v>514</v>
      </c>
      <c r="H7" s="44" t="s">
        <v>470</v>
      </c>
      <c r="I7" s="44" t="s">
        <v>498</v>
      </c>
      <c r="J7" s="44" t="s">
        <v>472</v>
      </c>
      <c r="K7" s="44" t="s">
        <v>499</v>
      </c>
      <c r="L7" s="54" t="s">
        <v>500</v>
      </c>
      <c r="M7" s="44" t="s">
        <v>280</v>
      </c>
      <c r="N7" s="53" t="s">
        <v>501</v>
      </c>
      <c r="O7" s="64" t="s">
        <v>502</v>
      </c>
      <c r="P7" s="148"/>
      <c r="Q7" s="148"/>
    </row>
    <row r="8">
      <c r="A8" s="37"/>
      <c r="B8" s="81" t="s">
        <v>503</v>
      </c>
      <c r="C8" s="81" t="s">
        <v>504</v>
      </c>
      <c r="D8" s="101" t="s">
        <v>505</v>
      </c>
      <c r="E8" s="293">
        <v>43951.0</v>
      </c>
      <c r="F8" s="64" t="s">
        <v>518</v>
      </c>
      <c r="G8" s="136" t="s">
        <v>507</v>
      </c>
      <c r="H8" s="44" t="s">
        <v>519</v>
      </c>
      <c r="I8" s="81" t="s">
        <v>509</v>
      </c>
      <c r="J8" s="81" t="s">
        <v>49</v>
      </c>
      <c r="K8" s="81" t="s">
        <v>494</v>
      </c>
      <c r="L8" s="80" t="str">
        <f>HYPERLINK("https://docs.google.com/document/d/1PK1CopTJ9X1RjfQP-dfu4OqaMbAGx1IOLMs4rnPLngM/edit#heading=h.c9r63tridy78","GEG AGENDA")</f>
        <v>GEG AGENDA</v>
      </c>
      <c r="M8" s="81" t="s">
        <v>221</v>
      </c>
      <c r="N8" s="53" t="s">
        <v>510</v>
      </c>
      <c r="O8" s="64" t="s">
        <v>511</v>
      </c>
      <c r="P8" s="148"/>
      <c r="Q8" s="148"/>
    </row>
    <row r="9">
      <c r="A9" s="42"/>
      <c r="B9" s="44" t="s">
        <v>466</v>
      </c>
      <c r="C9" s="44" t="s">
        <v>467</v>
      </c>
      <c r="D9" s="46" t="s">
        <v>468</v>
      </c>
      <c r="E9" s="293">
        <v>43959.0</v>
      </c>
      <c r="F9" s="44" t="s">
        <v>497</v>
      </c>
      <c r="G9" s="54" t="s">
        <v>514</v>
      </c>
      <c r="H9" s="44" t="s">
        <v>470</v>
      </c>
      <c r="I9" s="44" t="s">
        <v>498</v>
      </c>
      <c r="J9" s="44" t="s">
        <v>472</v>
      </c>
      <c r="K9" s="44" t="s">
        <v>499</v>
      </c>
      <c r="L9" s="54" t="s">
        <v>500</v>
      </c>
      <c r="M9" s="44" t="s">
        <v>280</v>
      </c>
      <c r="N9" s="53" t="s">
        <v>501</v>
      </c>
      <c r="O9" s="64" t="s">
        <v>502</v>
      </c>
      <c r="P9" s="148"/>
      <c r="Q9" s="148"/>
    </row>
    <row r="10">
      <c r="A10" s="37"/>
      <c r="B10" s="81" t="s">
        <v>503</v>
      </c>
      <c r="C10" s="81" t="s">
        <v>504</v>
      </c>
      <c r="D10" s="101" t="s">
        <v>505</v>
      </c>
      <c r="E10" s="293">
        <v>43979.0</v>
      </c>
      <c r="F10" s="64" t="s">
        <v>526</v>
      </c>
      <c r="G10" s="136" t="s">
        <v>507</v>
      </c>
      <c r="H10" s="44" t="s">
        <v>508</v>
      </c>
      <c r="I10" s="81" t="s">
        <v>509</v>
      </c>
      <c r="J10" s="81" t="s">
        <v>49</v>
      </c>
      <c r="K10" s="81" t="s">
        <v>494</v>
      </c>
      <c r="L10" s="80" t="str">
        <f>HYPERLINK("https://docs.google.com/document/d/1PK1CopTJ9X1RjfQP-dfu4OqaMbAGx1IOLMs4rnPLngM/edit#heading=h.c9r63tridy78","GEG AGENDA")</f>
        <v>GEG AGENDA</v>
      </c>
      <c r="M10" s="81" t="s">
        <v>221</v>
      </c>
      <c r="N10" s="53" t="s">
        <v>510</v>
      </c>
      <c r="O10" s="64" t="s">
        <v>511</v>
      </c>
      <c r="P10" s="148"/>
      <c r="Q10" s="148"/>
    </row>
    <row r="11">
      <c r="A11" s="42"/>
      <c r="B11" s="44" t="s">
        <v>466</v>
      </c>
      <c r="C11" s="44" t="s">
        <v>467</v>
      </c>
      <c r="D11" s="46" t="s">
        <v>468</v>
      </c>
      <c r="E11" s="293">
        <v>43994.0</v>
      </c>
      <c r="F11" s="44" t="s">
        <v>497</v>
      </c>
      <c r="G11" s="54" t="s">
        <v>514</v>
      </c>
      <c r="H11" s="44" t="s">
        <v>470</v>
      </c>
      <c r="I11" s="44" t="s">
        <v>498</v>
      </c>
      <c r="J11" s="44" t="s">
        <v>472</v>
      </c>
      <c r="K11" s="44" t="s">
        <v>499</v>
      </c>
      <c r="L11" s="54" t="s">
        <v>500</v>
      </c>
      <c r="M11" s="44" t="s">
        <v>280</v>
      </c>
      <c r="N11" s="53" t="s">
        <v>501</v>
      </c>
      <c r="O11" s="64" t="s">
        <v>502</v>
      </c>
      <c r="P11" s="148"/>
      <c r="Q11" s="148"/>
    </row>
    <row r="12">
      <c r="A12" s="37"/>
      <c r="B12" s="81" t="s">
        <v>503</v>
      </c>
      <c r="C12" s="81" t="s">
        <v>504</v>
      </c>
      <c r="D12" s="101" t="s">
        <v>505</v>
      </c>
      <c r="E12" s="293">
        <v>43999.0</v>
      </c>
      <c r="F12" s="64" t="s">
        <v>529</v>
      </c>
      <c r="G12" s="136" t="s">
        <v>507</v>
      </c>
      <c r="H12" s="44" t="s">
        <v>508</v>
      </c>
      <c r="I12" s="81" t="s">
        <v>509</v>
      </c>
      <c r="J12" s="81" t="s">
        <v>49</v>
      </c>
      <c r="K12" s="81" t="s">
        <v>494</v>
      </c>
      <c r="L12" s="80" t="str">
        <f>HYPERLINK("https://docs.google.com/document/d/1PK1CopTJ9X1RjfQP-dfu4OqaMbAGx1IOLMs4rnPLngM/edit#heading=h.c9r63tridy78","GEG AGENDA")</f>
        <v>GEG AGENDA</v>
      </c>
      <c r="M12" s="81" t="s">
        <v>280</v>
      </c>
      <c r="N12" s="53" t="s">
        <v>510</v>
      </c>
      <c r="O12" s="64" t="s">
        <v>511</v>
      </c>
      <c r="P12" s="148"/>
      <c r="Q12" s="148"/>
    </row>
    <row r="13">
      <c r="A13" s="37"/>
      <c r="B13" s="81" t="s">
        <v>466</v>
      </c>
      <c r="C13" s="81" t="s">
        <v>467</v>
      </c>
      <c r="D13" s="101" t="s">
        <v>468</v>
      </c>
      <c r="E13" s="293">
        <v>44035.0</v>
      </c>
      <c r="F13" s="64" t="s">
        <v>513</v>
      </c>
      <c r="G13" s="111" t="s">
        <v>514</v>
      </c>
      <c r="H13" s="44" t="s">
        <v>470</v>
      </c>
      <c r="I13" s="81" t="s">
        <v>471</v>
      </c>
      <c r="J13" s="81" t="s">
        <v>472</v>
      </c>
      <c r="K13" s="81" t="s">
        <v>494</v>
      </c>
      <c r="L13" s="54" t="s">
        <v>513</v>
      </c>
      <c r="M13" s="81" t="s">
        <v>280</v>
      </c>
      <c r="N13" s="53" t="s">
        <v>515</v>
      </c>
      <c r="O13" s="64" t="s">
        <v>516</v>
      </c>
      <c r="P13" s="148"/>
      <c r="Q13" s="148"/>
    </row>
  </sheetData>
  <hyperlinks>
    <hyperlink r:id="rId1" ref="D3"/>
    <hyperlink r:id="rId2" ref="L3"/>
    <hyperlink r:id="rId3" ref="D4"/>
    <hyperlink r:id="rId4" ref="D6"/>
    <hyperlink r:id="rId5" ref="G6"/>
    <hyperlink r:id="rId6" ref="L6"/>
    <hyperlink r:id="rId7" ref="G7"/>
    <hyperlink r:id="rId8" ref="G9"/>
    <hyperlink r:id="rId9" ref="G11"/>
    <hyperlink r:id="rId10" ref="D13"/>
    <hyperlink r:id="rId11" ref="G13"/>
    <hyperlink r:id="rId12" ref="L13"/>
  </hyperlinks>
  <printOptions gridLines="1" horizontalCentered="1"/>
  <pageMargins bottom="0.75" footer="0.0" header="0.0" left="0.7" right="0.7" top="0.75"/>
  <pageSetup fitToHeight="0" cellComments="atEnd" orientation="portrait" pageOrder="overThenDown"/>
  <drawing r:id="rId1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4.43" defaultRowHeight="15.75"/>
  <cols>
    <col customWidth="1" hidden="1" min="1" max="1" width="21.57"/>
    <col customWidth="1" hidden="1" min="2" max="2" width="14.0"/>
    <col customWidth="1" hidden="1" min="3" max="3" width="12.86"/>
    <col customWidth="1" hidden="1" min="4" max="4" width="21.57"/>
    <col customWidth="1" min="5" max="5" width="27.71"/>
    <col customWidth="1" min="6" max="6" width="24.29"/>
    <col customWidth="1" min="7" max="7" width="15.86"/>
    <col customWidth="1" min="8" max="8" width="23.14"/>
    <col customWidth="1" min="9" max="9" width="19.29"/>
    <col customWidth="1" min="10" max="10" width="15.86"/>
    <col customWidth="1" min="11" max="11" width="20.86"/>
    <col customWidth="1" min="12" max="12" width="11.0"/>
    <col customWidth="1" min="13" max="13" width="7.0"/>
    <col customWidth="1" min="14" max="14" width="84.86"/>
    <col customWidth="1" min="15" max="16" width="21.57"/>
  </cols>
  <sheetData>
    <row r="1" ht="36.0" customHeight="1">
      <c r="A1" s="366" t="s">
        <v>0</v>
      </c>
      <c r="B1" s="366" t="s">
        <v>2</v>
      </c>
      <c r="C1" s="366" t="s">
        <v>4</v>
      </c>
      <c r="D1" s="366" t="s">
        <v>6</v>
      </c>
      <c r="E1" s="367" t="s">
        <v>200</v>
      </c>
      <c r="F1" s="368" t="s">
        <v>201</v>
      </c>
      <c r="G1" s="367" t="s">
        <v>202</v>
      </c>
      <c r="H1" s="366" t="s">
        <v>203</v>
      </c>
      <c r="I1" s="368" t="s">
        <v>204</v>
      </c>
      <c r="J1" s="368" t="s">
        <v>205</v>
      </c>
      <c r="K1" s="368" t="s">
        <v>206</v>
      </c>
      <c r="L1" s="368" t="s">
        <v>207</v>
      </c>
      <c r="M1" s="368" t="s">
        <v>22</v>
      </c>
      <c r="N1" s="368" t="s">
        <v>208</v>
      </c>
      <c r="O1" s="368" t="s">
        <v>209</v>
      </c>
      <c r="P1" s="368" t="s">
        <v>512</v>
      </c>
    </row>
  </sheetData>
  <printOptions gridLines="1" horizontalCentered="1"/>
  <pageMargins bottom="0.75" footer="0.0" header="0.0" left="0.7" right="0.7" top="0.75"/>
  <pageSetup fitToHeight="0" cellComments="atEnd" orientation="portrait" pageOrder="overThenDown"/>
  <drawing r:id="rId1"/>
</worksheet>
</file>