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beegle\Desktop\Website\Counseling\"/>
    </mc:Choice>
  </mc:AlternateContent>
  <bookViews>
    <workbookView xWindow="-105" yWindow="-105" windowWidth="23250" windowHeight="12570"/>
  </bookViews>
  <sheets>
    <sheet name="Scholarships" sheetId="1" r:id="rId1"/>
  </sheets>
  <definedNames>
    <definedName name="Scholarship">Scholarships!$A:$A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2" i="1" l="1"/>
  <c r="A141" i="1"/>
  <c r="A140" i="1"/>
  <c r="A139" i="1"/>
  <c r="A138" i="1"/>
  <c r="A137" i="1"/>
  <c r="A136" i="1"/>
  <c r="A135" i="1"/>
  <c r="A134" i="1"/>
  <c r="A133" i="1"/>
  <c r="A132" i="1"/>
  <c r="A131" i="1"/>
  <c r="A130" i="1"/>
  <c r="A129" i="1"/>
  <c r="A128" i="1"/>
  <c r="A127" i="1"/>
  <c r="A126" i="1"/>
  <c r="B125" i="1"/>
  <c r="A125" i="1"/>
  <c r="A124" i="1"/>
  <c r="A123" i="1"/>
  <c r="A122" i="1"/>
  <c r="A121" i="1"/>
  <c r="A120" i="1"/>
  <c r="A119" i="1"/>
  <c r="A118" i="1"/>
  <c r="A117" i="1"/>
  <c r="A116" i="1"/>
  <c r="A115" i="1"/>
  <c r="A114" i="1"/>
  <c r="A113" i="1"/>
  <c r="A112" i="1"/>
  <c r="A111" i="1"/>
  <c r="A110" i="1"/>
  <c r="B109" i="1"/>
  <c r="A109" i="1"/>
  <c r="A108" i="1"/>
  <c r="A107" i="1"/>
  <c r="A106" i="1"/>
  <c r="A105" i="1"/>
  <c r="A104" i="1"/>
  <c r="A103" i="1"/>
  <c r="A102" i="1"/>
  <c r="A101" i="1"/>
  <c r="A100" i="1"/>
  <c r="A99" i="1"/>
  <c r="A98" i="1"/>
  <c r="A96" i="1"/>
  <c r="A95" i="1"/>
  <c r="A94" i="1"/>
  <c r="A93" i="1"/>
  <c r="A92" i="1"/>
  <c r="A91" i="1"/>
  <c r="A90" i="1"/>
  <c r="A89" i="1"/>
  <c r="A88" i="1"/>
  <c r="A87" i="1"/>
  <c r="A86" i="1"/>
  <c r="A85" i="1"/>
  <c r="A84" i="1"/>
  <c r="A83" i="1"/>
  <c r="A82" i="1"/>
  <c r="A81" i="1"/>
  <c r="A80" i="1"/>
  <c r="A79" i="1"/>
  <c r="A78" i="1"/>
  <c r="A77" i="1"/>
  <c r="B76" i="1"/>
  <c r="A76" i="1"/>
  <c r="A75" i="1"/>
  <c r="A74" i="1"/>
  <c r="A73" i="1"/>
  <c r="A72" i="1"/>
  <c r="A71" i="1"/>
  <c r="A70" i="1"/>
  <c r="A69" i="1"/>
  <c r="A68" i="1"/>
  <c r="A67" i="1"/>
  <c r="A66" i="1"/>
  <c r="A65" i="1"/>
  <c r="A64" i="1"/>
  <c r="A63" i="1"/>
  <c r="A62" i="1"/>
  <c r="A61" i="1"/>
  <c r="A60" i="1"/>
  <c r="A59" i="1"/>
  <c r="A58" i="1"/>
  <c r="A56" i="1"/>
  <c r="A55" i="1"/>
  <c r="A54" i="1"/>
  <c r="A53" i="1"/>
  <c r="A52" i="1"/>
  <c r="A51" i="1"/>
  <c r="A50" i="1"/>
  <c r="B49"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B2" i="1"/>
  <c r="A2" i="1"/>
</calcChain>
</file>

<file path=xl/sharedStrings.xml><?xml version="1.0" encoding="utf-8"?>
<sst xmlns="http://schemas.openxmlformats.org/spreadsheetml/2006/main" count="820" uniqueCount="474">
  <si>
    <t>Scholarship</t>
  </si>
  <si>
    <t>Website</t>
  </si>
  <si>
    <t>Conditions</t>
  </si>
  <si>
    <t>Designated High School</t>
  </si>
  <si>
    <t>Citizenship or Heritage Requirement</t>
  </si>
  <si>
    <t>Grade Requirement</t>
  </si>
  <si>
    <t>Writing Requirements</t>
  </si>
  <si>
    <t>Merit</t>
  </si>
  <si>
    <t>Financial Need</t>
  </si>
  <si>
    <t>Amount</t>
  </si>
  <si>
    <t>Deadline</t>
  </si>
  <si>
    <t>Major/Career Choice</t>
  </si>
  <si>
    <t>Must be related to a member of the Society of Mayflower Descendents, NM. Mayflower ancestry not required.</t>
  </si>
  <si>
    <t>NM Resident, US Citizen</t>
  </si>
  <si>
    <t>Graduating Senior</t>
  </si>
  <si>
    <t>250–500 word essay</t>
  </si>
  <si>
    <t>Yes</t>
  </si>
  <si>
    <t>February</t>
  </si>
  <si>
    <t>https://www.newmexico.org/505truescholars/</t>
  </si>
  <si>
    <t>Demonstrate commitment to pursue higher education and to impact the agricultural industry or New Mexico's economy of food or agriculture</t>
  </si>
  <si>
    <t>Any NM High School</t>
  </si>
  <si>
    <t>GPA 3.0</t>
  </si>
  <si>
    <t>March</t>
  </si>
  <si>
    <t>http://www.abbottandfenner.com/scholarships.php</t>
  </si>
  <si>
    <t>Describe your educational career and life goals in an essay.</t>
  </si>
  <si>
    <t>Junior or Senior</t>
  </si>
  <si>
    <t>500–1000 word essay</t>
  </si>
  <si>
    <t>June</t>
  </si>
  <si>
    <t>http://www.act.org/content/act/en/state-and-federal-programs/college-and-career-readiness-champions.html</t>
  </si>
  <si>
    <t>Be a tenacious and persistent student, no matter the challenge, and be prepared for life after high school with a goal and a plan.</t>
  </si>
  <si>
    <t>ACT 22</t>
  </si>
  <si>
    <t>October</t>
  </si>
  <si>
    <t>http://www.aesengineers.com/scholarships.php</t>
  </si>
  <si>
    <t>Demonstrate good character.</t>
  </si>
  <si>
    <t>Senior</t>
  </si>
  <si>
    <t>https://ahs-aps-nm.schoolloop.com/scholarships</t>
  </si>
  <si>
    <t>Demonstrate leadership and involvement.</t>
  </si>
  <si>
    <t>Albuquerque HS</t>
  </si>
  <si>
    <t>Personal statement</t>
  </si>
  <si>
    <t>GPA 2.75; ACT 17 or SAT 1060; ACCUPLACER 69 (CNM attendees)</t>
  </si>
  <si>
    <t>http://www.aises.org/scholarships</t>
  </si>
  <si>
    <t>Must be an AISES student member.  Must be an enrolled member or a decendent of an enrolled member of a federal or state-recognized tribe.</t>
  </si>
  <si>
    <t>Enrolled member or descendent of American Indian Tribe, Alaska Native Village, Native Hawaiian, Pacific Islander, or Indigenous person of Canada</t>
  </si>
  <si>
    <t>Three 500-word essays</t>
  </si>
  <si>
    <t>Business, Finance, Mathematics, Education, Medicine, Health Adminstration, or STEM (Science, Technology, Engineering, and Math)</t>
  </si>
  <si>
    <t>Enrolled member or descendent of American Indian Tribe, Alaska Native Village, Native Hawaiian, Pacific Islander, or Indigenous person of Canada; US Citizen</t>
  </si>
  <si>
    <t>Computer Science/Engineering, Electrical Engineering, Mechanical Engineering, Mathematics, Civil/Structural Engineering</t>
  </si>
  <si>
    <t>https://collegefund.org/</t>
  </si>
  <si>
    <t>Plan to attend a tribal college or university. Enroll with a federal or state-recognized tribe or have a grandparent who is an enrolled tribal member.</t>
  </si>
  <si>
    <t>Native American; US Citizen</t>
  </si>
  <si>
    <t>GPA 2.0</t>
  </si>
  <si>
    <t>May</t>
  </si>
  <si>
    <t>http://www.nmvoices.org/amybiehlyouthspiritaward</t>
  </si>
  <si>
    <t>Serve the community through adovocacy or volunteering within the last year.</t>
  </si>
  <si>
    <t>600 words or less autobiography</t>
  </si>
  <si>
    <t>$500–$1000</t>
  </si>
  <si>
    <t>April–May</t>
  </si>
  <si>
    <t>http://albuquerquefoundation.org/andrew-piech-memorial-scholarship.aspx</t>
  </si>
  <si>
    <t>Plan to attend a nonprofit or public school, including automotive/technical vocational institution or community college.</t>
  </si>
  <si>
    <t>NM Resident</t>
  </si>
  <si>
    <t>1–2 page essay</t>
  </si>
  <si>
    <t>Automotive Technology and related Applied Technologies</t>
  </si>
  <si>
    <t>http://www.apertureed.com/funding/scholarship/</t>
  </si>
  <si>
    <t>Winner chosen out of top 3 highest-voted essays.</t>
  </si>
  <si>
    <t>300–400 word essay</t>
  </si>
  <si>
    <t>December</t>
  </si>
  <si>
    <t>https://www.animationcareerreview.com/animationcareerreviewcom-aspiring-animation-professional-scholarship-program</t>
  </si>
  <si>
    <t>Pursue animation-related degree at an accredited art school, college, or university.</t>
  </si>
  <si>
    <t>Essay</t>
  </si>
  <si>
    <t>Animation</t>
  </si>
  <si>
    <t>https://www.fashion-schools.org/aspiring-fashion-professional-scholarship-program</t>
  </si>
  <si>
    <t xml:space="preserve">Intend to pursue a fashion-related field at an accredited post-secondary school or college, have a demonstrable record of academic success, have a passion and drive for a fashion related career.  </t>
  </si>
  <si>
    <t>Fashion</t>
  </si>
  <si>
    <t>https://www.indian-affairs.org/scholarships.html</t>
  </si>
  <si>
    <t xml:space="preserve">Enroll with a federal or state-recognized tribe. </t>
  </si>
  <si>
    <t>Native American</t>
  </si>
  <si>
    <t>GPA 2.5</t>
  </si>
  <si>
    <t>June–July</t>
  </si>
  <si>
    <t>http://www.nmavs.org/avs-new-mexico-chapter/scholarships/</t>
  </si>
  <si>
    <t xml:space="preserve">Complete one additional science course beyond what is required for graduation. Major in a physical science or engineering. May provide an additional statement on special circumstances. </t>
  </si>
  <si>
    <t>One-page personal statement</t>
  </si>
  <si>
    <t>April</t>
  </si>
  <si>
    <t>Physical Science or Engineering</t>
  </si>
  <si>
    <t>https://us.axa.com/axa-foundation/AXA-achievement-scholarship.html</t>
  </si>
  <si>
    <t>Demonstrate outstanding achievement in school, community, or work-related activities. Be one of the first 10,000 completed and submitted applications.</t>
  </si>
  <si>
    <t>US Citizen</t>
  </si>
  <si>
    <t>$2,500–$25,000</t>
  </si>
  <si>
    <t>http://www.studentawardsearch.com/scholarships.htm</t>
  </si>
  <si>
    <t>Describe characteristics of leadership in an essay.</t>
  </si>
  <si>
    <t>1000 words or less essay</t>
  </si>
  <si>
    <t>http://albuquerquefoundation.org/barnes-w-rose-jr-and-eva-rose-nichol-scholarship-fund-.aspx</t>
  </si>
  <si>
    <t>Demonstrate math and/or science interest and skill through grades and/or SAT/ACF scores.</t>
  </si>
  <si>
    <t>GPA 3.6</t>
  </si>
  <si>
    <t>STEM (Science, Technology, Engineering, and Math) major with priority given to engineering-related careers</t>
  </si>
  <si>
    <t>https://minds.marlboro.edu/</t>
  </si>
  <si>
    <t>Demonstrate creative ideas and expression in the form of a project for a cash prize. Opportunity to earn full or partial tuition scholarship if you intend to enroll at Marlborow College.  Open to ages 15–19. Compete alone or with up to two teammates.</t>
  </si>
  <si>
    <t>Cover letter and one creative work</t>
  </si>
  <si>
    <t>$500–$1,000 cash prize, or full/partial tuition scholarship</t>
  </si>
  <si>
    <t>https://www.skincareox.com/scholarship/</t>
  </si>
  <si>
    <t>Demonstrate a committment to maintaining personal wellness, and strive to lead a healthy lifestyle. Available to female students.</t>
  </si>
  <si>
    <t xml:space="preserve">US Citizen or Permanent Legal Resident </t>
  </si>
  <si>
    <t>Quarterly: January, March, June, September</t>
  </si>
  <si>
    <t>http://www.bigsunathletics.com/</t>
  </si>
  <si>
    <t>Available to all student athletes regardless of the sport they are engaged in or the capacity in which they participate.</t>
  </si>
  <si>
    <t>https://nmbar.org/breakinggood</t>
  </si>
  <si>
    <t xml:space="preserve">Create a video to help educate others about providers and leagal services available to New Mexicans. Students may work in teams. </t>
  </si>
  <si>
    <t>http://albuquerquefoundation.org/bryan-cline-memorial-soccer-scholarship-program.aspx</t>
  </si>
  <si>
    <t>Exhibit a strong scholastic record and leadership qualities. Must play on the Eldorado Varsity soccer team.</t>
  </si>
  <si>
    <t>Eldorado HS</t>
  </si>
  <si>
    <t>https://www.scholarsapply.org/burgerkingscholars/information.php</t>
  </si>
  <si>
    <t>Must be an employee of Burger King or dependent of a Burger King employee. Consideration will be given to academic record and participation in school and community activities.</t>
  </si>
  <si>
    <t>$1,000–$50,000</t>
  </si>
  <si>
    <t>http://www.camillarowe.org/</t>
  </si>
  <si>
    <t>Demonstrate a desire for truth and answers in an essay. Must have attended Eisehower Middle School for one year.</t>
  </si>
  <si>
    <t>La Cueva HS
Eldorado HS</t>
  </si>
  <si>
    <t>400–500 word essay</t>
  </si>
  <si>
    <t>https://carsonscholars.org/scholarships/</t>
  </si>
  <si>
    <t>Must excel academically, demonstrate strong humanitarian qualities, and show above-and-beyond dedication to serving the communities. Must be nominated by school and school must request application.</t>
  </si>
  <si>
    <t>650–750 word essay</t>
  </si>
  <si>
    <t>GPA 3.75</t>
  </si>
  <si>
    <t>January</t>
  </si>
  <si>
    <t>Students must be planning on enrolling at a accredited 2 year, 4 year, or vocational technical college in the US.</t>
  </si>
  <si>
    <t>500 word essay</t>
  </si>
  <si>
    <t>December and June</t>
  </si>
  <si>
    <t>http://www.onnsfa.org/FundingTypes/ChiefManuelito.aspx</t>
  </si>
  <si>
    <t xml:space="preserve">Available to high-achieving Navajo graduates. Must complete a Navajo Language and government course prior to graduate date.  </t>
  </si>
  <si>
    <t>Navajo</t>
  </si>
  <si>
    <t>GPA 3.0; ACT 21</t>
  </si>
  <si>
    <t>June/November</t>
  </si>
  <si>
    <t>https://christensenhymas.com/about-us/community-involvement/general-scholarship/</t>
  </si>
  <si>
    <t>Must be currently enrolled in or have been accepted to a US university or college. Must be successfully pursuing your education, despite the struggles caused by an accident and injury.</t>
  </si>
  <si>
    <t>GPA 3.5</t>
  </si>
  <si>
    <t>July</t>
  </si>
  <si>
    <t>https://www.scholarsapply.org/churchsscholars/</t>
  </si>
  <si>
    <t>Students are selected based on academic record, demonstrated leadership and participation in school and community activities, honors, work experience, statement of goals and aspirations, unusual personal or family circumstances, and appraisal by teacher, coach, employer, or other adult.</t>
  </si>
  <si>
    <t>GPA 2.7</t>
  </si>
  <si>
    <t>https://www.cnm.edu/depts/outreach/dual-credit/dual-credit-ambassador</t>
  </si>
  <si>
    <t>Must have completed or will complete Making Money Work: FIN 1010 and have at least one more semester in high school.</t>
  </si>
  <si>
    <t>November</t>
  </si>
  <si>
    <t>http://www.coca-colascholarsfoundation.org/apply/</t>
  </si>
  <si>
    <t>Awarded based on achievement, capacity to lead and serve, and commitment to making a significant impact on schools and communities.</t>
  </si>
  <si>
    <t>US Citizen or Eligible Noncitizen</t>
  </si>
  <si>
    <t>https://ctcl.org/2018-scholarship-application/</t>
  </si>
  <si>
    <t>Plan to attend one of the "Colleges that Change Lives"-member colleges and universities, which are small, residential, liberal arts colleges.</t>
  </si>
  <si>
    <t>$1,000–$4,000</t>
  </si>
  <si>
    <t>https://www.optimist.org/member/scholarships4.cfm?</t>
  </si>
  <si>
    <t xml:space="preserve">Speak or sign a 4–5 minute presentation on a pre-assigned topic. </t>
  </si>
  <si>
    <t>US Resident</t>
  </si>
  <si>
    <t>Speech</t>
  </si>
  <si>
    <t>September</t>
  </si>
  <si>
    <t>https://www.nmact.org/compete-with-class/</t>
  </si>
  <si>
    <t xml:space="preserve">Must participate in athletics and demonstrate true sportsmanship based on respect, integrity, and responsibility. </t>
  </si>
  <si>
    <t>https://coolidgescholars.org/</t>
  </si>
  <si>
    <t>Demonstrate academic excellence, interest in public policy and appreciation for Coolidge Values, as well as humility and service.</t>
  </si>
  <si>
    <t>US Citizen or Legal Permanent Resident</t>
  </si>
  <si>
    <t>Junior</t>
  </si>
  <si>
    <t>A 600-word essay and an 800-word essay</t>
  </si>
  <si>
    <t>Full-ride scholarship</t>
  </si>
  <si>
    <t>https://www.cuanm.com/scholarships/</t>
  </si>
  <si>
    <t>Must attend an accredited New Mexico college or university, including any two-year or four-year vocational institution.</t>
  </si>
  <si>
    <t>GPA 2.8</t>
  </si>
  <si>
    <t>http://nmact.powermediallc.org/nmaa-foundation-scholarships/dan-and-lucille-woodgray-gladiator-athletic-scholarship-presented-by-subway/</t>
  </si>
  <si>
    <t xml:space="preserve">Must have actively participated in one or more of the NMAA-sanctioned sports during their sophomore and junior years, and at least two sports their senior year. </t>
  </si>
  <si>
    <t>GPA 3.5; ACT 25 or SAT 1750</t>
  </si>
  <si>
    <t>http://www.danielsfund.org/Scholarships/</t>
  </si>
  <si>
    <t>Embody the principles and values of Bill Daniels: strength of character, leadership potential, commitment to serve the community, academic performance or promise, and a well-rounded personality.</t>
  </si>
  <si>
    <t>NM Resident; US Citizen or Permanent Legal Resident</t>
  </si>
  <si>
    <t>ACT 17 or SAT Math 470 &amp; Reading 450</t>
  </si>
  <si>
    <t>http://albuquerquefoundation.org/david-r-woodling-memorial-scholarship.aspx</t>
  </si>
  <si>
    <t>Must pursue a certificate or degree in metals technology. May attend full-time or part-time.</t>
  </si>
  <si>
    <t>GPA 2.5 or GED</t>
  </si>
  <si>
    <t>Metals Technology with a concentration in Machine-tool Technology and Welding</t>
  </si>
  <si>
    <t>Must be current DECA member with hospitality experience or interest.</t>
  </si>
  <si>
    <t>Hospitality</t>
  </si>
  <si>
    <t>https://www.deca.org/high-school-programs/scholarships/</t>
  </si>
  <si>
    <t>Must be current DECA member. May either be a NAPA associate or have an interest in a career in the automotive industry.</t>
  </si>
  <si>
    <t>Automotive</t>
  </si>
  <si>
    <t>Must be current DECA member and a member of NTHS.</t>
  </si>
  <si>
    <t>Must be current DECA member working in their school stores and sell Otis Spunkmeyer products.</t>
  </si>
  <si>
    <t>Must be current DECA member an an associate of Publix.</t>
  </si>
  <si>
    <t>https://scholarship.collegecovered.com/rules.html</t>
  </si>
  <si>
    <t>Register to enter the sweepstakes. Must attend one of the nearly 2,500 participating colleges to be eligible. Bonus entries available by telling a friend, sharing on Twitter and/or Facebook, or taking a survey.</t>
  </si>
  <si>
    <t>Must be between 18–24. Describe how you would change the world in a brief statement, and create a video introducing yourself, discussing your academic/professional goals, and describing the impact of possibly winning this tuition.</t>
  </si>
  <si>
    <t>500-character personal statement</t>
  </si>
  <si>
    <t>$2,500–$100,000</t>
  </si>
  <si>
    <t>http://esdf.org/apply-for-grant/esdf-nfaa-scholarship-application/</t>
  </si>
  <si>
    <t>Must be a member of NFAA or NAA/USA archery. Must compete in archery during the academic year.</t>
  </si>
  <si>
    <t>$100–$20,000</t>
  </si>
  <si>
    <t>www.nmact.org</t>
  </si>
  <si>
    <t xml:space="preserve">Must have actively participated in a cheer or dance program at an NMAA-member school for at least 3 years in grades 8–12. </t>
  </si>
  <si>
    <t>https://usascholarships.com/elks-most-valuable-student-contest/</t>
  </si>
  <si>
    <t>Demonstrate leadership, academic achivement, community involvement, and financial need.</t>
  </si>
  <si>
    <t>https://www.dukecityques.com/single-post/2018/03/18/Omega-Psi-Phi-is-accepting-scholarship-applications-from-high-school-seniors</t>
  </si>
  <si>
    <t>Describe the value of a college degree and your goals.</t>
  </si>
  <si>
    <t>700-word or less essay</t>
  </si>
  <si>
    <t>https://sites.google.com/site/awmmath/programs/essay-contest</t>
  </si>
  <si>
    <t xml:space="preserve">Interview a woman currently working in a mathematical career and write an essay based on interview. Male and females may apply. </t>
  </si>
  <si>
    <t xml:space="preserve">Express your opinions about the world that you live in based on personal experience, experience of your country, or a historical perspective. </t>
  </si>
  <si>
    <t>700–800 word essay</t>
  </si>
  <si>
    <t xml:space="preserve">Must have participated in at least one of the NMAA-sanctioned sports and at least one of the NMAA-sanctioned activities. </t>
  </si>
  <si>
    <t>ExxonMobil/LNESC Scholarship</t>
  </si>
  <si>
    <t>Demonstrate outstanding academic achievement. Must be accepted into a full-time engineering program.</t>
  </si>
  <si>
    <t>Hispanic; US Citizen</t>
  </si>
  <si>
    <t>GPA 3.5; ACT 29 or SAT 1350</t>
  </si>
  <si>
    <t>$2,000–$20,000</t>
  </si>
  <si>
    <t>Engineering</t>
  </si>
  <si>
    <t>https://www.fishertalwar.com/scholarship/</t>
  </si>
  <si>
    <t>Must explain your inspiration for pursuing an education.</t>
  </si>
  <si>
    <t>500-word essay</t>
  </si>
  <si>
    <t xml:space="preserve">GPA 3.0 </t>
  </si>
  <si>
    <t>http://www.gmsp.org/</t>
  </si>
  <si>
    <t>Demonstrate academic achievement and leadership through community service or other extracurricular activities.</t>
  </si>
  <si>
    <t>African American, American Indian/Alaska Native, Asian Pacific Islander American and Hispanic American</t>
  </si>
  <si>
    <t>One-page essay</t>
  </si>
  <si>
    <t>GPA 3.3</t>
  </si>
  <si>
    <t>https://www.reaganfoundation.org/education/scholarship-programs/ge-reagan-foundation-scholarship-program/</t>
  </si>
  <si>
    <t xml:space="preserve">Demonstrate leadership, drive, integrity, and citizenship at school, the workplace, and within the community. </t>
  </si>
  <si>
    <t>http://www.genkellyscholarship.com/index.html</t>
  </si>
  <si>
    <t>Merit-based scholarship to help students fulfill their dream of a higher education. Must plan on attending college in next 12 months.</t>
  </si>
  <si>
    <t>US Citizen or Permanent Legal Resident</t>
  </si>
  <si>
    <t>250-word personal statement</t>
  </si>
  <si>
    <t>http://www.greatmindsinstem.org/college/henaac-scholarship-program</t>
  </si>
  <si>
    <r>
      <t xml:space="preserve">Pursue a STEM (Science, Technology, Enginering &amp; Math) degree and profession. Demonstrate merit through academic achievements, leadership, and campus/community activities. Must be of Hispanic origin </t>
    </r>
    <r>
      <rPr>
        <b/>
        <sz val="11"/>
        <rFont val="Calibri"/>
        <family val="2"/>
      </rPr>
      <t>and/or</t>
    </r>
    <r>
      <rPr>
        <sz val="11"/>
        <color rgb="FF000000"/>
        <rFont val="Calibri"/>
        <family val="2"/>
      </rPr>
      <t xml:space="preserve"> demonstrate leadership or service within the Hispanic community.</t>
    </r>
  </si>
  <si>
    <t>Hispanic</t>
  </si>
  <si>
    <t>$500–$10,000</t>
  </si>
  <si>
    <t>STEM (Science, Technology, Engineering, and Math)</t>
  </si>
  <si>
    <t>https://www.hexterandbaines.com/scholarship</t>
  </si>
  <si>
    <t>Describe your goals and plan to achieve your goals, and explain your need for financial assistance.</t>
  </si>
  <si>
    <t>500–1,000 word essay</t>
  </si>
  <si>
    <t>https://www.hsf.net/</t>
  </si>
  <si>
    <t>Must complete the FAFSA. All majors accepted. Preference given to STEM (Science, Technology, Enginering &amp; Math) majors. Available on a competitive basis and awarded by merit and relative need.</t>
  </si>
  <si>
    <t>Hispanic; US Citizen, Permanent Legal Resident, DACA, or Eligible Noncitizen</t>
  </si>
  <si>
    <t>$500-$5,000</t>
  </si>
  <si>
    <t>http://honorsgradu.com/scholarship/</t>
  </si>
  <si>
    <t>Design and work on a community improvement project. Use the HonorsGradU Strategy Plan checklist as a guide. May work with an existing community organization and/or with a group of up to 3 students.</t>
  </si>
  <si>
    <t>https://hs-nm.org/2018/03/09/1741/</t>
  </si>
  <si>
    <t>Discuss humanist values in an essay. Must attend CNM.</t>
  </si>
  <si>
    <t>Any ABQ High School</t>
  </si>
  <si>
    <t>600–800 word esay</t>
  </si>
  <si>
    <t>GPA 3.0 preferred</t>
  </si>
  <si>
    <t>Tuition</t>
  </si>
  <si>
    <t>https://www.imagine-america.org/students/scholarships-education/highschoolscholarships/</t>
  </si>
  <si>
    <t>Must volunteer during senior year. Attend a career college, technical college, or trade school.</t>
  </si>
  <si>
    <t>https://www.ahlef.org/Scholarships/</t>
  </si>
  <si>
    <t>Plan to pursue a hospitality management major in the fall semester.</t>
  </si>
  <si>
    <t>$2,000–$4,000</t>
  </si>
  <si>
    <t>Hospitality Management</t>
  </si>
  <si>
    <t>Must be member of affiliated with federaly recognized Pueblo.  Must plan to attend two or four year college and major or minor in visual arts.</t>
  </si>
  <si>
    <t>500-700 word essay</t>
  </si>
  <si>
    <t>$2,500-$5,000</t>
  </si>
  <si>
    <t>Visual Arts</t>
  </si>
  <si>
    <t>http://www.jkcf.org/</t>
  </si>
  <si>
    <t>Demonstrate exceptional academic ability and achievement, persistance, leadership, and service to others.</t>
  </si>
  <si>
    <t>GPA 3.5; ACT 26 or SAT 1200</t>
  </si>
  <si>
    <t>https://www.jackierobinson.org/apply/applicants/</t>
  </si>
  <si>
    <t>Show leadership potential and demonstrate a dedication to community service.</t>
  </si>
  <si>
    <t>Four 2,500-character essays</t>
  </si>
  <si>
    <t>ACT 21 or SAT 1000</t>
  </si>
  <si>
    <t>http://albuquerquefoundation.org/james-ledwith-memorial-scholarship.aspx</t>
  </si>
  <si>
    <t>Pursue a life dream, like a professional or educational goal, in spite of facing extraordinary life challenges. Demonstrate hope, faith, courage, thoughtfulness, service to others, and ability to succeed.</t>
  </si>
  <si>
    <t>Any High School in ABQ Metro Area</t>
  </si>
  <si>
    <t>Personal essay</t>
  </si>
  <si>
    <t>http://www.dlenm.org/jms-scholarship.aspx</t>
  </si>
  <si>
    <t>Pursue education major at a college in New Mexico. Preference given to students seeking bilingual endorsement.</t>
  </si>
  <si>
    <t>1,000–2,000 word essay</t>
  </si>
  <si>
    <t>Education</t>
  </si>
  <si>
    <t>https://www.yourturn2apply.com/newmexico.htm</t>
  </si>
  <si>
    <t>Describe your inner drive and personal ambition and where you see yourself in the future.</t>
  </si>
  <si>
    <t>$1,500–$5,000</t>
  </si>
  <si>
    <t>https://www.jfklibrary.org/Education/Profile-in-Courage-Essay-Contest.aspx</t>
  </si>
  <si>
    <t xml:space="preserve">Describe an act of political courage by a US-elected official who served during or after 1917. </t>
  </si>
  <si>
    <t>700–1,000 word essay</t>
  </si>
  <si>
    <t>$100–$10,000</t>
  </si>
  <si>
    <t>Must be a member or a child/grandchild of a member in good standing with Kirtland Federal Credit Union.</t>
  </si>
  <si>
    <t>500–700 word essay</t>
  </si>
  <si>
    <t>$1,000–$2,000</t>
  </si>
  <si>
    <t>http://albuquerquefoundation.org/kiwanis-club-of-albuquerque-scholarship.aspx</t>
  </si>
  <si>
    <t>Demonstrate strong community service experience and academic achievement. Preference given to students attending college in New Mexico.</t>
  </si>
  <si>
    <t>GPA 3.0; ACT 23</t>
  </si>
  <si>
    <t>Early Childhood Development and/or Education preferred but not required</t>
  </si>
  <si>
    <t>Must be currently enrolled in high school or college.</t>
  </si>
  <si>
    <t xml:space="preserve">US Citizen or permanent resident. </t>
  </si>
  <si>
    <t>Complete application, essay, and provide supporting documentation.</t>
  </si>
  <si>
    <t xml:space="preserve">Submit by 20th of each month. </t>
  </si>
  <si>
    <t>Demonstrate leadership in the form of activities and documentation of any formal recommendation.</t>
  </si>
  <si>
    <t>500-word or less essay</t>
  </si>
  <si>
    <t>https://levinescholars.uncc.edu/</t>
  </si>
  <si>
    <t>Demonstrate a commitment to community service. Hold an academic record reflecting a sustained passion for knowledge. Possess capacity for ethical leaderhip, elevating students to a higher standard. Show evidence of experience, motivation, and commitment towards the ideals of the Levine Scholars Program. Must attend UNC Charlotte.</t>
  </si>
  <si>
    <t>https://www.lnesc.org/lnsf</t>
  </si>
  <si>
    <t xml:space="preserve">Demonstrate academic excellence, motivation, sincerity, and community involvement. </t>
  </si>
  <si>
    <t>$250–$1,000</t>
  </si>
  <si>
    <t>GPA 3.0; ACT 23 pr SAT 1100</t>
  </si>
  <si>
    <t>$500–$2,000</t>
  </si>
  <si>
    <t>http://albuquerquefoundation.org/manuel-lujan-excellence-in-education-scholarship.aspx</t>
  </si>
  <si>
    <t>Graduate from select New Mexico schools and continue your education in New Mexico.</t>
  </si>
  <si>
    <t>Albuquerque Academy; Albuquerque HS; Cibola HS; Del Norte HS; Eldorado HS; Estancia HS; Fort Sumner HS; Freedom HS; Highland HS; Hope Christian HS; La Cueva HS; Manzano HS; Menaul HS; Moriarty HS; Mountainair HS; Rio Grande HS; Sandia HS; Sandia Preparatory; Santa Rosa HS; St. Pius X HS; To'Hajiilee HS; Valley HS; Vaughn HS; West Mesa HS</t>
  </si>
  <si>
    <t>http://nmact.powermediallc.org/nmaa-foundation-scholarships/mario-martinez-memorial-scholarship/</t>
  </si>
  <si>
    <t>Attend a small, Class A-3A school. Actively participate in three or more NMAA-sanctioned sports during junior and/or senior year.</t>
  </si>
  <si>
    <t>https://www.aca.org/ACA_PROD_IMIS/Docs/Award%20Forms/aca_mlk.pdf</t>
  </si>
  <si>
    <t xml:space="preserve">Demonstrate a need and a willingness to pursue a college education related to a career in the criminial justice field. Demonstrate academic achievement and commitment to the principles of Dr. King. </t>
  </si>
  <si>
    <t>250-word essay</t>
  </si>
  <si>
    <t>Criminal Justice</t>
  </si>
  <si>
    <t>http://www.nmbsmc.net/Scholarship-Information.html</t>
  </si>
  <si>
    <t>Demonstrate campus and community involvement, leadership, accomplishments, passion in life, and education goals.</t>
  </si>
  <si>
    <t>500–800 word essay and 2–3 page narrative</t>
  </si>
  <si>
    <t>https://www.nhs.us/students/the-nhs-scholarship/?SSO=true</t>
  </si>
  <si>
    <t>Must be National Honor Society member in good standing of an affiliate NHS chapter. Demonstrate positive impact in schools and communities through scholarship, service, leadership, and character.</t>
  </si>
  <si>
    <t>$3,200–$25,000</t>
  </si>
  <si>
    <t>http://www.nrotc.navy.mil/scholarships.html</t>
  </si>
  <si>
    <t>Meet academic, physical, medical, training, and service requirements.</t>
  </si>
  <si>
    <t>US Citizen or Naturalized US Citizen (current or in process)</t>
  </si>
  <si>
    <t>GPA 2.5; ACT 47 combined or 22 or SAT 1000–1200 combined</t>
  </si>
  <si>
    <t>Naval Reserve</t>
  </si>
  <si>
    <t>https://www.nmeaf.org/new-mexico-education-council#Tab_12?</t>
  </si>
  <si>
    <t>Attend a New Mexico college. Demonstrate desire to create a better New Mexico.</t>
  </si>
  <si>
    <t>NM Resident; US Citizen</t>
  </si>
  <si>
    <t>5,000-character essay</t>
  </si>
  <si>
    <t xml:space="preserve">February </t>
  </si>
  <si>
    <t>http://www.nmffc.org/</t>
  </si>
  <si>
    <t xml:space="preserve">Available to stuents who were in foster care in New Mexico. </t>
  </si>
  <si>
    <t>This is three seperate scholarship for:  a high school senior, parent/guardian and educator.  Applicants must be a PTA member.</t>
  </si>
  <si>
    <t>Essay required</t>
  </si>
  <si>
    <t>http://nmfrw.com/scholarship-info/</t>
  </si>
  <si>
    <t xml:space="preserve">Be a registered Republic or daughter or registered Republican. Attend a college, university, or vocational school in New Mexico. Plan to study goverment, political science, international relations, or history, or demonstrate significant participation in political activities like Girl's State, student goverment, local and state government activities, and more. </t>
  </si>
  <si>
    <t>Letter</t>
  </si>
  <si>
    <t>http://albuquerquefoundation.org/new-mexico-manufactured-housing-association-scholarship-program.aspx</t>
  </si>
  <si>
    <t>Must live in a mobile/manufactured home. Describe your career goals.</t>
  </si>
  <si>
    <t>http://nmact.powermediallc.org/nmaa-foundation-scholarships/activities-scholarship-presented-by-subway/</t>
  </si>
  <si>
    <t>Actively participate in one or more NMAA-sanctioned activities</t>
  </si>
  <si>
    <t>Two one-page personal statements</t>
  </si>
  <si>
    <t>https://nmasbo.org/recognitions/high-school-scholarships/</t>
  </si>
  <si>
    <t>Express commitment to excellence. Apply through Reviewr.</t>
  </si>
  <si>
    <t>Double-spaced, two-page essay</t>
  </si>
  <si>
    <t>$1,500–$2,500</t>
  </si>
  <si>
    <t>https://www.onlinembareport.com/ombar-aspiring-business-professional-scholarship-program</t>
  </si>
  <si>
    <t>Intend to pursue a business-related field, demonstrate record of academic success and passion/drive for a business career.</t>
  </si>
  <si>
    <t>Business</t>
  </si>
  <si>
    <t xml:space="preserve">Prepare a 4–5 minute speech on a pre-assigned topic. </t>
  </si>
  <si>
    <t>$1,000–$22,500</t>
  </si>
  <si>
    <t>http://otapnm.com/scholarship</t>
  </si>
  <si>
    <t>Prepare a personal story of informative essay regarding organ transplant or tissue donation.</t>
  </si>
  <si>
    <t>Two-page essay</t>
  </si>
  <si>
    <t>For men and women who intend to enter the advertising profession and are currently maintaining a marketing internship.</t>
  </si>
  <si>
    <t>personal essay</t>
  </si>
  <si>
    <t>Advertising</t>
  </si>
  <si>
    <t>http://nmpeo.org/peo/</t>
  </si>
  <si>
    <t>Merit-based scholarship available to women. Exhbit excellence in leadership, academics, extracurricular activities, community service, and potential for future success. Must be recommended and recieve vote of local P.E.O. chapter.</t>
  </si>
  <si>
    <t>One-page, 700-word essay</t>
  </si>
  <si>
    <t>https://www.hurtcallbert.com/scholarships/</t>
  </si>
  <si>
    <t>Create a Distracted Driving Family Plan that you and your family can commit to.</t>
  </si>
  <si>
    <t>$1,000–$2,500</t>
  </si>
  <si>
    <t>https://www.typologycentral.com/forums/scholarship.php</t>
  </si>
  <si>
    <t>Applicants will be judged on the essay they provide, contributions to the study or application of personality type, their academic and non-academic achievements, and participation on the Typology Central forum.</t>
  </si>
  <si>
    <t>1000-word essay</t>
  </si>
  <si>
    <t>$500–$2000</t>
  </si>
  <si>
    <t>Personality type theory</t>
  </si>
  <si>
    <t>https://pprize.princeton.edu/apply</t>
  </si>
  <si>
    <t>Prepare and implement a volunteer project that demonstrates significant positive effect on race relations in your school or community. May work in group of no more than 3. Project sponsor required.</t>
  </si>
  <si>
    <t>Woman who have taken a break and are returning back to school.</t>
  </si>
  <si>
    <t>Essay on what is graduation plan</t>
  </si>
  <si>
    <t>yes</t>
  </si>
  <si>
    <t>http://www.realworlddesignchallenge.org/</t>
  </si>
  <si>
    <t>Address a challenge that confronts our nation's leading industries by utilizing professional engineering software to develop your solutions. Create a presentation to demonstrate the vlue of your solution. Work on a team of 3–7 students with a coach.</t>
  </si>
  <si>
    <t>https://www.redfin.com/resources/scholarship</t>
  </si>
  <si>
    <t>Winner randomly chosen from total submissions.</t>
  </si>
  <si>
    <t>Fall: May – January; Spring: November – January</t>
  </si>
  <si>
    <t>Available to students with dyslexia or other reading disability, learning barrier, language learning, or life challenge.</t>
  </si>
  <si>
    <t>La Cueva HS</t>
  </si>
  <si>
    <t>https://www.ronbrown.org/section/apply/program-description</t>
  </si>
  <si>
    <t>Demonstrate a keen interest in public service, community engagement, business entrepreneurship, and global citizenship.</t>
  </si>
  <si>
    <t>African American; US Citizen or Permanent Legal Resident</t>
  </si>
  <si>
    <t>Two 500-word essays</t>
  </si>
  <si>
    <t>November &amp; January</t>
  </si>
  <si>
    <t xml:space="preserve">Students must complete an essay that incorporates unique ideas, personal stories, and feelings about the role technlogy plays in your life.  </t>
  </si>
  <si>
    <t>Graduating high school senior or enrolled in college.</t>
  </si>
  <si>
    <t>none specified</t>
  </si>
  <si>
    <t>http://scholarships4moms.net/scholarship-application-for-moms</t>
  </si>
  <si>
    <t>https://schooltutoring.com/scholarship/</t>
  </si>
  <si>
    <t>Has technology caused you to feel more included in your community, or excluded?</t>
  </si>
  <si>
    <t>https://www.scienceambassadorscholarship.org/</t>
  </si>
  <si>
    <t>We’re looking for essays that incorporate unique ideas, personal stories, and feelings about the role technology plays in your life.</t>
  </si>
  <si>
    <t>http://workinjuryaz.com/phoenix-workers-compensation-lawyers/</t>
  </si>
  <si>
    <t>DREAMer</t>
  </si>
  <si>
    <t>https://www.spj.org/a-hs.asp</t>
  </si>
  <si>
    <t>Here are some questions to get you going:</t>
  </si>
  <si>
    <t>300–500 word essay</t>
  </si>
  <si>
    <t>$300-$1,000</t>
  </si>
  <si>
    <t>http://sparxlorenzoantonio.org/</t>
  </si>
  <si>
    <t>Any APS High School</t>
  </si>
  <si>
    <t>Two-paragraph statement</t>
  </si>
  <si>
    <t>How do you use technology in your professional or academic life?</t>
  </si>
  <si>
    <t>Any NM Public High School</t>
  </si>
  <si>
    <t>http://collegepeas.com/scholarshipgreen/</t>
  </si>
  <si>
    <t>How do you use technology in your social life? How do those around you use technology?</t>
  </si>
  <si>
    <t>100 words or less essay</t>
  </si>
  <si>
    <t>https://www.scholarships.com/financial-aid/college-scholarships/scholarships-by-type/community-service-scholarships/stephen-j-brady-stop-hunger-scholarships/</t>
  </si>
  <si>
    <t>Does technology assist or hinder your productivity?</t>
  </si>
  <si>
    <t>http://stuckatprom.com/</t>
  </si>
  <si>
    <t>Are you required to use technology? In what ways?</t>
  </si>
  <si>
    <t>$100-$10,000</t>
  </si>
  <si>
    <t>https://www.cnm.edu/depts/financial-aid/scholarships/suncat-scholars</t>
  </si>
  <si>
    <t>Available to first-time, full-time freshman at CNM pursuing an associate's degree. Must major in one of the approved degree programs.</t>
  </si>
  <si>
    <t>$700 and tuition support</t>
  </si>
  <si>
    <t xml:space="preserve">April </t>
  </si>
  <si>
    <t>http://albuquerquefoundation.org/susie-kubie-symphonic-music-scholarship.aspx</t>
  </si>
  <si>
    <t>Must be a past or current participant of the Albuquerque Youth Symphony program.</t>
  </si>
  <si>
    <t>Music</t>
  </si>
  <si>
    <t>http://albuquerquefoundation.org/sussman-miller-educational-assistance-award-program.aspx</t>
  </si>
  <si>
    <t>Describe educational and career goals as well as any special circumstance making it more difficult for you to attain your education. Must apply for financial assistance.</t>
  </si>
  <si>
    <t>Submit a creative writing project based on the given prompt.</t>
  </si>
  <si>
    <t>1,500-words or less essay</t>
  </si>
  <si>
    <t>http://studentaid.ed.gov/types/grants-scholarships/teach</t>
  </si>
  <si>
    <t>Meet teaching and service requirements. Must serve as a full-time, highly qualified teacher in a low-income areas for four years, and teach in a high-need field: mathematics, science, foreign language, bilingual education, english language acquisition, special eduation, reading specialist, or another field listed in the nationwide Teacher Shortage Area listing.</t>
  </si>
  <si>
    <t>GPA 2.5 or 75th percentile on ACT, SAT, GRE, etc.</t>
  </si>
  <si>
    <t>Semesterly: fall, spring, summer</t>
  </si>
  <si>
    <t>Education (Math, Science, Foreign Language, Bilingual Education, English Language Acquisition, Special Education, Reading Specialist, and more)</t>
  </si>
  <si>
    <t>https://www.milestechnologies.com/technology-scholarship/</t>
  </si>
  <si>
    <t>Demonstrate merit through grades, personal statement, quality of work, and level of commitment to bettering our communities. Plan to pursue a bachelor's degree related to Computer Science or Information Technology.</t>
  </si>
  <si>
    <t>150–200 word introduction and 300–500 word essay</t>
  </si>
  <si>
    <t>Computer Science or Information Technology</t>
  </si>
  <si>
    <t>http://www.sandia.gov/m/about/community/education_programs/thunderbird_awards.html</t>
  </si>
  <si>
    <r>
      <t xml:space="preserve">Demonstrate that, through hard work and determination, you have overcome great personal difficulties to achieve your goals. Serve as a positive role model. </t>
    </r>
    <r>
      <rPr>
        <i/>
        <sz val="11"/>
        <rFont val="Calibri"/>
        <family val="2"/>
      </rPr>
      <t>Must be nominated by your school.</t>
    </r>
  </si>
  <si>
    <t>Any High School in Albuquerque, Belen, Bernalillo, Los Lunas, Moriarty, or Rio Rancho.</t>
  </si>
  <si>
    <t>Open to undergraduate students enrolled full-time at an accredited post-secondary educational institution.</t>
  </si>
  <si>
    <t>Must be member of a Pueblo or Tribe and reside in Northern NM.</t>
  </si>
  <si>
    <t>accounting, business administration, finance, management information systems, other business related field.</t>
  </si>
  <si>
    <t>Native American students pursuing higher education in natural resources</t>
  </si>
  <si>
    <t>Natural Resources</t>
  </si>
  <si>
    <t xml:space="preserve">Available to people over age 25 who have taken the iniative to reach for a goal demonstrated a commitment to the goal.  Must live in Bernalillo, sandoval, Valencia, Torrance or santa Fe County.  </t>
  </si>
  <si>
    <t>New Mexico Resident</t>
  </si>
  <si>
    <t>25 years of age or older</t>
  </si>
  <si>
    <t>$1,000-$3,000</t>
  </si>
  <si>
    <t>Healthcare, education, science, engineering, mathematics, accounting, finance, or computer</t>
  </si>
  <si>
    <t>https://www.unigo.com/scholarships/our-scholarships/make-me-laugh-scholarship?utm_source=Unigo+Members&amp;utm_campaign=7523f8f6bb-8.7.17_monthly_scholarship_parent&amp;utm_medium=email&amp;utm_term=0_7902ca422c-7523f8f6bb-175316277</t>
  </si>
  <si>
    <t>Make us laugh by describing a funny or embarrassing incident in your life.</t>
  </si>
  <si>
    <t>250-word or less essay</t>
  </si>
  <si>
    <t>August</t>
  </si>
  <si>
    <t>https://www.unionplus.org/benefits/money/union-plus-scholarships</t>
  </si>
  <si>
    <t xml:space="preserve">Available to current and retired members of participating unions and their dependent children (as defined by IRS regulations).  </t>
  </si>
  <si>
    <t>Two 350-word essays</t>
  </si>
  <si>
    <t>$500–$4,000</t>
  </si>
  <si>
    <t>http://unmscholarshipapp.unm.edu/</t>
  </si>
  <si>
    <t>Create a two-minute video on the specified topic. Demonstrate school and community activities, awards, talents, and skills. Must attend the University of New Mexico.</t>
  </si>
  <si>
    <t>Three 350-word essays</t>
  </si>
  <si>
    <t>GPA 3.9; ACT 31 or SAT 1390</t>
  </si>
  <si>
    <t>https://www.useagle.org/learn/scholarships/2018-scholarship-opportunities</t>
  </si>
  <si>
    <t>Create a video or write an essay on one of the designated topics. Must be a member or relative of a member of the US Eagle Federal Credit Union.</t>
  </si>
  <si>
    <t>Essay or video</t>
  </si>
  <si>
    <t xml:space="preserve"> </t>
  </si>
  <si>
    <t>http://www.waceinc.org/scholarship/index.html</t>
  </si>
  <si>
    <t>Apply to one of the following 9 WACE Partner Institutions to be eligible: Clarkson University, Drezel University, Johnson &amp; Wales University, Merrimack College, Rochester Institute of Technology, State University of New York Oswego, the University of Toledo, University of Cincinnati, or Wentworth Institute.</t>
  </si>
  <si>
    <t>One-page, 200-word essay</t>
  </si>
  <si>
    <t>$6,000–$8,000</t>
  </si>
  <si>
    <t>November–February</t>
  </si>
  <si>
    <t>STEM (Science, Technology, Engineering, and Math) preferred</t>
  </si>
  <si>
    <t>https://www.wendyshighschoolheisman.com/application/are-you-eligible/</t>
  </si>
  <si>
    <t>High-achieving student athletes must demonstrate leadership in school and the community and serve as a role model for underclassmen. Participate in at least one of the 47 sports recognized by the International Olympic Committee or the National Federation of State High School Association.</t>
  </si>
  <si>
    <t>$500–$5,000</t>
  </si>
  <si>
    <t>http://www.wesleyan.edu/admission/apply/hamiltonprize.html</t>
  </si>
  <si>
    <t>Demonstrate originality, artistry, and dynamism in a creative written sample. Must attend Wesleyan University.</t>
  </si>
  <si>
    <t>Graduating Senior or Early Decision</t>
  </si>
  <si>
    <t>Creative written work</t>
  </si>
  <si>
    <t>http://albuquerquefoundation.org/the-women-in-rhetoric-and-logic-scholarship.aspx</t>
  </si>
  <si>
    <t>Applicant must be a female who participated in high school debate team.</t>
  </si>
  <si>
    <t>Albuquerque Academy</t>
  </si>
  <si>
    <t>http://albuquerquefoundation.org/woodcock-family-education-scholarship-program.aspx</t>
  </si>
  <si>
    <t>Demonstrate strong math and/or science credentials and express career goals in the field of math or science.</t>
  </si>
  <si>
    <t>Two-page personal statement</t>
  </si>
  <si>
    <t>GPA 3.8; ACT 30 or SAT Math 680</t>
  </si>
  <si>
    <t>Science or Mathematics</t>
  </si>
  <si>
    <t>https://scholarshipguidance.com/scholarship_ydi_scholarship_9015.php?&amp;utm_source=newsletter01&amp;utm_medium=email&amp;utm_campaign=201708&amp;utm_content=c64abe9adf255ff249dc957568444f3b</t>
  </si>
  <si>
    <t>Enter sweepstakes for a chance to win.</t>
  </si>
  <si>
    <t>http://albuquerquefoundation.org/youth-in-foster-care-scholarship-program.aspx</t>
  </si>
  <si>
    <t>Must have been in the New Mexico foster care system for a minimum of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</si>
</sst>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27">
    <font>
      <sz val="11"/>
      <color rgb="FF000000"/>
      <name val="Calibri"/>
    </font>
    <font>
      <b/>
      <sz val="11"/>
      <name val="Calibri"/>
      <family val="2"/>
    </font>
    <font>
      <b/>
      <sz val="11"/>
      <color rgb="FF000000"/>
      <name val="Calibri"/>
      <family val="2"/>
    </font>
    <font>
      <b/>
      <u/>
      <sz val="11"/>
      <color rgb="FF0000FF"/>
      <name val="Calibri"/>
      <family val="2"/>
    </font>
    <font>
      <u/>
      <sz val="11"/>
      <color rgb="FF0000FF"/>
      <name val="Calibri"/>
      <family val="2"/>
    </font>
    <font>
      <sz val="11"/>
      <name val="Calibri"/>
      <family val="2"/>
    </font>
    <font>
      <b/>
      <u/>
      <sz val="11"/>
      <color rgb="FF0000FF"/>
      <name val="Calibri"/>
      <family val="2"/>
    </font>
    <font>
      <u/>
      <sz val="11"/>
      <color rgb="FF0563C1"/>
      <name val="Calibri"/>
      <family val="2"/>
    </font>
    <font>
      <b/>
      <u/>
      <sz val="11"/>
      <color rgb="FF0000FF"/>
      <name val="Calibri"/>
      <family val="2"/>
    </font>
    <font>
      <u/>
      <sz val="11"/>
      <color rgb="FF000000"/>
      <name val="Calibri"/>
      <family val="2"/>
    </font>
    <font>
      <b/>
      <u/>
      <sz val="11"/>
      <color rgb="FF0000FF"/>
      <name val="Calibri"/>
      <family val="2"/>
    </font>
    <font>
      <sz val="11"/>
      <name val="Calibri"/>
      <family val="2"/>
    </font>
    <font>
      <b/>
      <u/>
      <sz val="11"/>
      <color rgb="FF0000FF"/>
      <name val="Calibri"/>
      <family val="2"/>
    </font>
    <font>
      <u/>
      <sz val="11"/>
      <color rgb="FF0000FF"/>
      <name val="Calibri"/>
      <family val="2"/>
    </font>
    <font>
      <b/>
      <u/>
      <sz val="11"/>
      <color rgb="FF1155CC"/>
      <name val="Calibri"/>
      <family val="2"/>
    </font>
    <font>
      <u/>
      <sz val="11"/>
      <color rgb="FF1155CC"/>
      <name val="Calibri"/>
      <family val="2"/>
    </font>
    <font>
      <u/>
      <sz val="11"/>
      <color rgb="FF0000FF"/>
      <name val="Calibri"/>
      <family val="2"/>
    </font>
    <font>
      <b/>
      <u/>
      <sz val="11"/>
      <color rgb="FF1155CC"/>
      <name val="Calibri"/>
      <family val="2"/>
    </font>
    <font>
      <u/>
      <sz val="11"/>
      <color rgb="FF0563C1"/>
      <name val="Calibri"/>
      <family val="2"/>
    </font>
    <font>
      <u/>
      <sz val="11"/>
      <color rgb="FF0000FF"/>
      <name val="Calibri"/>
      <family val="2"/>
    </font>
    <font>
      <b/>
      <u/>
      <sz val="11"/>
      <color rgb="FF0000FF"/>
      <name val="Calibri"/>
      <family val="2"/>
    </font>
    <font>
      <u/>
      <sz val="11"/>
      <color rgb="FF000000"/>
      <name val="Calibri"/>
      <family val="2"/>
    </font>
    <font>
      <sz val="11"/>
      <color rgb="FF333333"/>
      <name val="Calibri"/>
      <family val="2"/>
    </font>
    <font>
      <sz val="13"/>
      <color rgb="FF333333"/>
      <name val="Avenir"/>
    </font>
    <font>
      <sz val="11"/>
      <color rgb="FF333333"/>
      <name val="Avenir"/>
    </font>
    <font>
      <i/>
      <sz val="11"/>
      <name val="Calibri"/>
      <family val="2"/>
    </font>
    <font>
      <sz val="11"/>
      <color rgb="FF000000"/>
      <name val="Calibri"/>
      <family val="2"/>
    </font>
  </fonts>
  <fills count="4">
    <fill>
      <patternFill patternType="none"/>
    </fill>
    <fill>
      <patternFill patternType="gray125"/>
    </fill>
    <fill>
      <patternFill patternType="solid">
        <fgColor rgb="FFEFEFEF"/>
        <bgColor rgb="FFEFEFEF"/>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applyFont="1" applyAlignment="1"/>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0" borderId="1" xfId="0" applyFont="1" applyBorder="1" applyAlignment="1">
      <alignment vertical="top" wrapText="1"/>
    </xf>
    <xf numFmtId="0" fontId="4" fillId="3" borderId="1" xfId="0" applyFont="1" applyFill="1" applyBorder="1" applyAlignment="1">
      <alignment vertical="top" wrapText="1"/>
    </xf>
    <xf numFmtId="0" fontId="5" fillId="3" borderId="1" xfId="0" applyFont="1" applyFill="1" applyBorder="1" applyAlignment="1">
      <alignment vertical="top" wrapText="1"/>
    </xf>
    <xf numFmtId="0" fontId="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0" fontId="6" fillId="0" borderId="1" xfId="0" applyFont="1" applyBorder="1" applyAlignment="1">
      <alignment vertical="top" wrapText="1"/>
    </xf>
    <xf numFmtId="0" fontId="7" fillId="3" borderId="1" xfId="0" applyFont="1" applyFill="1" applyBorder="1" applyAlignment="1">
      <alignment vertical="top" wrapText="1"/>
    </xf>
    <xf numFmtId="6" fontId="0" fillId="3" borderId="1" xfId="0" applyNumberFormat="1" applyFont="1" applyFill="1" applyBorder="1" applyAlignment="1">
      <alignment horizontal="left" vertical="top" wrapText="1"/>
    </xf>
    <xf numFmtId="0" fontId="8" fillId="0" borderId="1" xfId="0" applyFont="1" applyBorder="1" applyAlignment="1">
      <alignment vertical="top" wrapText="1"/>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9" fillId="3" borderId="1" xfId="0" applyFont="1" applyFill="1" applyBorder="1" applyAlignment="1">
      <alignment vertical="top" wrapText="1"/>
    </xf>
    <xf numFmtId="0" fontId="10" fillId="0" borderId="1" xfId="0" applyFont="1" applyBorder="1" applyAlignment="1">
      <alignment vertical="top" wrapText="1"/>
    </xf>
    <xf numFmtId="0" fontId="5" fillId="0" borderId="1" xfId="0" applyFont="1" applyBorder="1" applyAlignment="1">
      <alignment vertical="top" wrapText="1"/>
    </xf>
    <xf numFmtId="0" fontId="11" fillId="0" borderId="1" xfId="0" applyFont="1" applyBorder="1" applyAlignment="1">
      <alignment wrapText="1"/>
    </xf>
    <xf numFmtId="0" fontId="0" fillId="0" borderId="1" xfId="0" applyFont="1" applyBorder="1" applyAlignment="1"/>
    <xf numFmtId="0" fontId="12" fillId="0" borderId="1" xfId="0" applyFont="1" applyBorder="1" applyAlignment="1">
      <alignment vertical="top" wrapText="1"/>
    </xf>
    <xf numFmtId="0" fontId="13" fillId="3" borderId="1" xfId="0" applyFont="1" applyFill="1" applyBorder="1" applyAlignment="1">
      <alignment vertical="top"/>
    </xf>
    <xf numFmtId="3" fontId="0" fillId="3" borderId="1" xfId="0" applyNumberFormat="1" applyFont="1" applyFill="1" applyBorder="1" applyAlignment="1">
      <alignment horizontal="left" vertical="top" wrapText="1"/>
    </xf>
    <xf numFmtId="0" fontId="14" fillId="0" borderId="1" xfId="0" applyFont="1" applyBorder="1" applyAlignment="1">
      <alignment vertical="top" wrapText="1"/>
    </xf>
    <xf numFmtId="0" fontId="15" fillId="3" borderId="1" xfId="0" applyFont="1" applyFill="1" applyBorder="1" applyAlignment="1">
      <alignment vertical="top"/>
    </xf>
    <xf numFmtId="0" fontId="16" fillId="3" borderId="1" xfId="0" applyFont="1" applyFill="1" applyBorder="1" applyAlignment="1">
      <alignment vertical="top" wrapText="1"/>
    </xf>
    <xf numFmtId="0" fontId="17" fillId="0" borderId="1" xfId="0" applyFont="1" applyBorder="1" applyAlignment="1">
      <alignment vertical="top" wrapText="1"/>
    </xf>
    <xf numFmtId="0" fontId="18" fillId="3" borderId="1" xfId="0" applyFont="1" applyFill="1" applyBorder="1" applyAlignment="1">
      <alignment vertical="top" wrapText="1"/>
    </xf>
    <xf numFmtId="0" fontId="19" fillId="3" borderId="1" xfId="0" applyFont="1" applyFill="1" applyBorder="1" applyAlignment="1">
      <alignment vertical="top"/>
    </xf>
    <xf numFmtId="0" fontId="20" fillId="0" borderId="1" xfId="0" applyFont="1" applyBorder="1"/>
    <xf numFmtId="0" fontId="1" fillId="0" borderId="1" xfId="0" applyFont="1" applyBorder="1" applyAlignment="1">
      <alignment vertical="top" wrapText="1"/>
    </xf>
    <xf numFmtId="0" fontId="21" fillId="3" borderId="1" xfId="0" applyFont="1" applyFill="1" applyBorder="1" applyAlignment="1">
      <alignment vertical="top" wrapText="1"/>
    </xf>
    <xf numFmtId="0" fontId="22" fillId="3" borderId="1" xfId="0" applyFont="1" applyFill="1" applyBorder="1" applyAlignment="1">
      <alignment vertical="top" wrapText="1"/>
    </xf>
    <xf numFmtId="0" fontId="23" fillId="3" borderId="1" xfId="0" applyFont="1" applyFill="1" applyBorder="1"/>
    <xf numFmtId="0" fontId="22" fillId="3" borderId="1" xfId="0" applyFont="1" applyFill="1" applyBorder="1" applyAlignment="1"/>
    <xf numFmtId="0" fontId="24" fillId="3" borderId="1" xfId="0" applyFont="1" applyFill="1" applyBorder="1"/>
    <xf numFmtId="0" fontId="24" fillId="3" borderId="1" xfId="0" applyFont="1" applyFill="1" applyBorder="1" applyAlignment="1"/>
    <xf numFmtId="0" fontId="0" fillId="0" borderId="1" xfId="0" applyFont="1" applyBorder="1" applyAlignment="1">
      <alignment vertical="top" wrapText="1"/>
    </xf>
    <xf numFmtId="0" fontId="5" fillId="0" borderId="1" xfId="0" applyFont="1" applyBorder="1" applyAlignment="1">
      <alignment horizontal="left" vertical="top"/>
    </xf>
    <xf numFmtId="6" fontId="0" fillId="0" borderId="1" xfId="0" applyNumberFormat="1" applyFont="1" applyBorder="1" applyAlignment="1">
      <alignment horizontal="left" vertical="top" wrapText="1"/>
    </xf>
    <xf numFmtId="164" fontId="0" fillId="3"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ptimist.org/member/scholarships4.cfm?" TargetMode="External"/><Relationship Id="rId13" Type="http://schemas.openxmlformats.org/officeDocument/2006/relationships/hyperlink" Target="https://www.optimist.org/member/scholarships4.cfm?" TargetMode="External"/><Relationship Id="rId18" Type="http://schemas.openxmlformats.org/officeDocument/2006/relationships/hyperlink" Target="https://www.lnesc.org/lnsf" TargetMode="External"/><Relationship Id="rId26" Type="http://schemas.openxmlformats.org/officeDocument/2006/relationships/hyperlink" Target="https://www.optimist.org/member/scholarships4.cfm?" TargetMode="External"/><Relationship Id="rId3" Type="http://schemas.openxmlformats.org/officeDocument/2006/relationships/hyperlink" Target="https://ahs-aps-nm.schoolloop.com/scholarships" TargetMode="External"/><Relationship Id="rId21" Type="http://schemas.openxmlformats.org/officeDocument/2006/relationships/hyperlink" Target="http://nmact.powermediallc.org/nmaa-foundation-scholarships/mario-martinez-memorial-scholarship/" TargetMode="External"/><Relationship Id="rId7" Type="http://schemas.openxmlformats.org/officeDocument/2006/relationships/hyperlink" Target="https://ctcl.org/2018-scholarship-application/" TargetMode="External"/><Relationship Id="rId12" Type="http://schemas.openxmlformats.org/officeDocument/2006/relationships/hyperlink" Target="http://www.nmact.org/" TargetMode="External"/><Relationship Id="rId17" Type="http://schemas.openxmlformats.org/officeDocument/2006/relationships/hyperlink" Target="https://www.jfklibrary.org/Education/Profile-in-Courage-Essay-Contest.aspx" TargetMode="External"/><Relationship Id="rId25" Type="http://schemas.openxmlformats.org/officeDocument/2006/relationships/hyperlink" Target="http://nmact.powermediallc.org/nmaa-foundation-scholarships/activities-scholarship-presented-by-subway/" TargetMode="External"/><Relationship Id="rId2" Type="http://schemas.openxmlformats.org/officeDocument/2006/relationships/hyperlink" Target="http://www.act.org/content/act/en/state-and-federal-programs/college-and-career-readiness-champions.html" TargetMode="External"/><Relationship Id="rId16" Type="http://schemas.openxmlformats.org/officeDocument/2006/relationships/hyperlink" Target="https://hs-nm.org/2018/03/09/1741/" TargetMode="External"/><Relationship Id="rId20" Type="http://schemas.openxmlformats.org/officeDocument/2006/relationships/hyperlink" Target="https://www.lnesc.org/lnsf" TargetMode="External"/><Relationship Id="rId29" Type="http://schemas.openxmlformats.org/officeDocument/2006/relationships/hyperlink" Target="https://www.milestechnologies.com/technology-scholarship/" TargetMode="External"/><Relationship Id="rId1" Type="http://schemas.openxmlformats.org/officeDocument/2006/relationships/hyperlink" Target="https://www.newmexico.org/505truescholars/" TargetMode="External"/><Relationship Id="rId6" Type="http://schemas.openxmlformats.org/officeDocument/2006/relationships/hyperlink" Target="https://carsonscholars.org/scholarships/" TargetMode="External"/><Relationship Id="rId11" Type="http://schemas.openxmlformats.org/officeDocument/2006/relationships/hyperlink" Target="http://www.danielsfund.org/Scholarships/" TargetMode="External"/><Relationship Id="rId24" Type="http://schemas.openxmlformats.org/officeDocument/2006/relationships/hyperlink" Target="http://nmfrw.com/scholarship-info/" TargetMode="External"/><Relationship Id="rId5" Type="http://schemas.openxmlformats.org/officeDocument/2006/relationships/hyperlink" Target="https://nmbar.org/breakinggood" TargetMode="External"/><Relationship Id="rId15" Type="http://schemas.openxmlformats.org/officeDocument/2006/relationships/hyperlink" Target="http://www.gmsp.org/" TargetMode="External"/><Relationship Id="rId23" Type="http://schemas.openxmlformats.org/officeDocument/2006/relationships/hyperlink" Target="http://www.nrotc.navy.mil/scholarships.html" TargetMode="External"/><Relationship Id="rId28" Type="http://schemas.openxmlformats.org/officeDocument/2006/relationships/hyperlink" Target="http://albuquerquefoundation.org/sussman-miller-educational-assistance-award-program.aspx" TargetMode="External"/><Relationship Id="rId10" Type="http://schemas.openxmlformats.org/officeDocument/2006/relationships/hyperlink" Target="http://nmact.powermediallc.org/nmaa-foundation-scholarships/dan-and-lucille-woodgray-gladiator-athletic-scholarship-presented-by-subway/" TargetMode="External"/><Relationship Id="rId19" Type="http://schemas.openxmlformats.org/officeDocument/2006/relationships/hyperlink" Target="https://www.lnesc.org/lnsf" TargetMode="External"/><Relationship Id="rId4" Type="http://schemas.openxmlformats.org/officeDocument/2006/relationships/hyperlink" Target="https://minds.marlboro.edu/" TargetMode="External"/><Relationship Id="rId9" Type="http://schemas.openxmlformats.org/officeDocument/2006/relationships/hyperlink" Target="https://www.nmact.org/compete-with-class/" TargetMode="External"/><Relationship Id="rId14" Type="http://schemas.openxmlformats.org/officeDocument/2006/relationships/hyperlink" Target="http://www.nmact.org/" TargetMode="External"/><Relationship Id="rId22" Type="http://schemas.openxmlformats.org/officeDocument/2006/relationships/hyperlink" Target="https://www.aca.org/ACA_PROD_IMIS/Docs/Award%20Forms/aca_mlk.pdf" TargetMode="External"/><Relationship Id="rId27" Type="http://schemas.openxmlformats.org/officeDocument/2006/relationships/hyperlink" Target="http://otapnm.com/scholar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4.42578125" defaultRowHeight="15" customHeight="1"/>
  <cols>
    <col min="1" max="1" width="47.140625" customWidth="1"/>
    <col min="2" max="2" width="46" hidden="1" customWidth="1"/>
    <col min="3" max="3" width="82.7109375" customWidth="1"/>
    <col min="4" max="4" width="14.7109375" customWidth="1"/>
    <col min="5" max="5" width="24.42578125" customWidth="1"/>
    <col min="6" max="6" width="12.140625" customWidth="1"/>
    <col min="7" max="7" width="14.7109375" customWidth="1"/>
    <col min="8" max="8" width="14.5703125" customWidth="1"/>
    <col min="9" max="9" width="8.5703125" customWidth="1"/>
    <col min="10" max="10" width="15.5703125" customWidth="1"/>
    <col min="11" max="11" width="11.140625" customWidth="1"/>
    <col min="12" max="12" width="30" customWidth="1"/>
  </cols>
  <sheetData>
    <row r="1" spans="1:12" ht="36" customHeight="1">
      <c r="A1" s="1" t="s">
        <v>0</v>
      </c>
      <c r="B1" s="2" t="s">
        <v>1</v>
      </c>
      <c r="C1" s="2" t="s">
        <v>2</v>
      </c>
      <c r="D1" s="2" t="s">
        <v>3</v>
      </c>
      <c r="E1" s="2" t="s">
        <v>4</v>
      </c>
      <c r="F1" s="2" t="s">
        <v>5</v>
      </c>
      <c r="G1" s="2" t="s">
        <v>6</v>
      </c>
      <c r="H1" s="2" t="s">
        <v>7</v>
      </c>
      <c r="I1" s="3" t="s">
        <v>8</v>
      </c>
      <c r="J1" s="3" t="s">
        <v>9</v>
      </c>
      <c r="K1" s="2" t="s">
        <v>10</v>
      </c>
      <c r="L1" s="2" t="s">
        <v>11</v>
      </c>
    </row>
    <row r="2" spans="1:12" ht="30">
      <c r="A2" s="4" t="str">
        <f>HYPERLINK("http://www.nmmayflower.org/scholarship_Requirements.html","1620 Scholarship, Mayflower Society in the State of New Mexico")</f>
        <v>1620 Scholarship, Mayflower Society in the State of New Mexico</v>
      </c>
      <c r="B2" s="5" t="str">
        <f>HYPERLINK("http://www.nmmayflower.org/scholarship_Requirements.html","http://www.nmmayflower.org/scholarship_Requirements.html")</f>
        <v>http://www.nmmayflower.org/scholarship_Requirements.html</v>
      </c>
      <c r="C2" s="6" t="s">
        <v>12</v>
      </c>
      <c r="D2" s="6"/>
      <c r="E2" s="6" t="s">
        <v>13</v>
      </c>
      <c r="F2" s="6" t="s">
        <v>14</v>
      </c>
      <c r="G2" s="7" t="s">
        <v>15</v>
      </c>
      <c r="H2" s="6" t="s">
        <v>16</v>
      </c>
      <c r="I2" s="8"/>
      <c r="J2" s="9">
        <v>1620</v>
      </c>
      <c r="K2" s="6" t="s">
        <v>17</v>
      </c>
      <c r="L2" s="10"/>
    </row>
    <row r="3" spans="1:12" ht="30">
      <c r="A3" s="11" t="str">
        <f>HYPERLINK("https://www.newmexico.org/505truescholars/","505 Southwestern New Mexico True Scholars")</f>
        <v>505 Southwestern New Mexico True Scholars</v>
      </c>
      <c r="B3" s="12" t="s">
        <v>18</v>
      </c>
      <c r="C3" s="10" t="s">
        <v>19</v>
      </c>
      <c r="D3" s="6" t="s">
        <v>20</v>
      </c>
      <c r="E3" s="6"/>
      <c r="F3" s="6" t="s">
        <v>14</v>
      </c>
      <c r="G3" s="6"/>
      <c r="H3" s="6" t="s">
        <v>21</v>
      </c>
      <c r="I3" s="8"/>
      <c r="J3" s="13">
        <v>5000</v>
      </c>
      <c r="K3" s="6" t="s">
        <v>22</v>
      </c>
      <c r="L3" s="10"/>
    </row>
    <row r="4" spans="1:12" ht="30">
      <c r="A4" s="14" t="str">
        <f>HYPERLINK("http://www.abbottandfenner.com/scholarships.php","Abbott &amp; Fenner")</f>
        <v>Abbott &amp; Fenner</v>
      </c>
      <c r="B4" s="15" t="s">
        <v>23</v>
      </c>
      <c r="C4" s="10" t="s">
        <v>24</v>
      </c>
      <c r="D4" s="6"/>
      <c r="E4" s="6"/>
      <c r="F4" s="6" t="s">
        <v>25</v>
      </c>
      <c r="G4" s="6" t="s">
        <v>26</v>
      </c>
      <c r="H4" s="6"/>
      <c r="I4" s="16"/>
      <c r="J4" s="9">
        <v>1000</v>
      </c>
      <c r="K4" s="6" t="s">
        <v>27</v>
      </c>
      <c r="L4" s="10"/>
    </row>
    <row r="5" spans="1:12" ht="45">
      <c r="A5" s="14" t="str">
        <f>HYPERLINK("http://www.act.org/content/act/en/state-and-federal-programs/college-and-career-readiness-champions.html","ACT College and Career Readiness Champions")</f>
        <v>ACT College and Career Readiness Champions</v>
      </c>
      <c r="B5" s="17" t="s">
        <v>28</v>
      </c>
      <c r="C5" s="8" t="s">
        <v>29</v>
      </c>
      <c r="D5" s="7"/>
      <c r="E5" s="7"/>
      <c r="F5" s="7"/>
      <c r="G5" s="6"/>
      <c r="H5" s="7" t="s">
        <v>30</v>
      </c>
      <c r="I5" s="8"/>
      <c r="J5" s="9">
        <v>500</v>
      </c>
      <c r="K5" s="6" t="s">
        <v>31</v>
      </c>
      <c r="L5" s="10"/>
    </row>
    <row r="6" spans="1:12" ht="30">
      <c r="A6" s="14" t="str">
        <f>HYPERLINK("http://www.aesengineers.com/scholarships.php","AES Engineering")</f>
        <v>AES Engineering</v>
      </c>
      <c r="B6" s="15" t="s">
        <v>32</v>
      </c>
      <c r="C6" s="6" t="s">
        <v>33</v>
      </c>
      <c r="D6" s="6"/>
      <c r="E6" s="6"/>
      <c r="F6" s="6" t="s">
        <v>34</v>
      </c>
      <c r="G6" s="6" t="s">
        <v>26</v>
      </c>
      <c r="H6" s="6"/>
      <c r="I6" s="16"/>
      <c r="J6" s="13">
        <v>500</v>
      </c>
      <c r="K6" s="6" t="s">
        <v>31</v>
      </c>
      <c r="L6" s="10"/>
    </row>
    <row r="7" spans="1:12" ht="75">
      <c r="A7" s="14" t="str">
        <f>HYPERLINK("https://ahs-aps-nm.schoolloop.com/scholarships","AHS Alumni Association")</f>
        <v>AHS Alumni Association</v>
      </c>
      <c r="B7" s="17" t="s">
        <v>35</v>
      </c>
      <c r="C7" s="6" t="s">
        <v>36</v>
      </c>
      <c r="D7" s="6" t="s">
        <v>37</v>
      </c>
      <c r="E7" s="6"/>
      <c r="F7" s="6"/>
      <c r="G7" s="6" t="s">
        <v>38</v>
      </c>
      <c r="H7" s="6" t="s">
        <v>39</v>
      </c>
      <c r="I7" s="8"/>
      <c r="J7" s="8"/>
      <c r="K7" s="6" t="s">
        <v>22</v>
      </c>
      <c r="L7" s="10"/>
    </row>
    <row r="8" spans="1:12" ht="105">
      <c r="A8" s="4" t="str">
        <f>HYPERLINK("http://www.aises.org/scholoarships/aises-burlington-north-santa-fe-bnsf-foundation-scholarship","AISES Burlington North Santa Fe Foundation Scholarship")</f>
        <v>AISES Burlington North Santa Fe Foundation Scholarship</v>
      </c>
      <c r="B8" s="6" t="s">
        <v>40</v>
      </c>
      <c r="C8" s="6" t="s">
        <v>41</v>
      </c>
      <c r="D8" s="6"/>
      <c r="E8" s="6" t="s">
        <v>42</v>
      </c>
      <c r="F8" s="6" t="s">
        <v>34</v>
      </c>
      <c r="G8" s="6" t="s">
        <v>43</v>
      </c>
      <c r="H8" s="6" t="s">
        <v>21</v>
      </c>
      <c r="I8" s="8"/>
      <c r="J8" s="9">
        <v>2500</v>
      </c>
      <c r="K8" s="6" t="s">
        <v>22</v>
      </c>
      <c r="L8" s="10" t="s">
        <v>44</v>
      </c>
    </row>
    <row r="9" spans="1:12" ht="105">
      <c r="A9" s="18" t="str">
        <f>HYPERLINK("http://www.aises.org/scholoarships/navsea-2019-20","AISES NAVSEA Scholarship")</f>
        <v>AISES NAVSEA Scholarship</v>
      </c>
      <c r="B9" s="6"/>
      <c r="C9" s="6" t="s">
        <v>41</v>
      </c>
      <c r="D9" s="6"/>
      <c r="E9" s="6" t="s">
        <v>45</v>
      </c>
      <c r="F9" s="6" t="s">
        <v>34</v>
      </c>
      <c r="G9" s="6" t="s">
        <v>43</v>
      </c>
      <c r="H9" s="6" t="s">
        <v>21</v>
      </c>
      <c r="I9" s="8"/>
      <c r="J9" s="9">
        <v>10000</v>
      </c>
      <c r="K9" s="6" t="s">
        <v>22</v>
      </c>
      <c r="L9" s="10" t="s">
        <v>46</v>
      </c>
    </row>
    <row r="10" spans="1:12" ht="30">
      <c r="A10" s="14" t="str">
        <f>HYPERLINK("https://collegefund.org/student-resources/scholarships/scholarship-programs/","American Indian College Fund Scholarship Program")</f>
        <v>American Indian College Fund Scholarship Program</v>
      </c>
      <c r="B10" s="6" t="s">
        <v>47</v>
      </c>
      <c r="C10" s="6" t="s">
        <v>48</v>
      </c>
      <c r="D10" s="6"/>
      <c r="E10" s="6" t="s">
        <v>49</v>
      </c>
      <c r="F10" s="6"/>
      <c r="G10" s="6"/>
      <c r="H10" s="6" t="s">
        <v>50</v>
      </c>
      <c r="I10" s="8"/>
      <c r="J10" s="13"/>
      <c r="K10" s="6" t="s">
        <v>51</v>
      </c>
      <c r="L10" s="10"/>
    </row>
    <row r="11" spans="1:12" ht="45">
      <c r="A11" s="14" t="str">
        <f>HYPERLINK("http://www.nmvoices.org/amybiehlyouthspiritaward","Amy Biehl Youth Spirit Award")</f>
        <v>Amy Biehl Youth Spirit Award</v>
      </c>
      <c r="B11" s="10" t="s">
        <v>52</v>
      </c>
      <c r="C11" s="10" t="s">
        <v>53</v>
      </c>
      <c r="D11" s="6"/>
      <c r="E11" s="6"/>
      <c r="F11" s="6"/>
      <c r="G11" s="6" t="s">
        <v>54</v>
      </c>
      <c r="H11" s="6"/>
      <c r="I11" s="16"/>
      <c r="J11" s="8" t="s">
        <v>55</v>
      </c>
      <c r="K11" s="6" t="s">
        <v>56</v>
      </c>
      <c r="L11" s="10"/>
    </row>
    <row r="12" spans="1:12" ht="30">
      <c r="A12" s="11" t="str">
        <f>HYPERLINK("http://albuquerquefoundation.org/andrew-piech-memorial-scholarship.aspx","Andrew Piech Memorial Scholarship")</f>
        <v>Andrew Piech Memorial Scholarship</v>
      </c>
      <c r="B12" s="10" t="s">
        <v>57</v>
      </c>
      <c r="C12" s="10" t="s">
        <v>58</v>
      </c>
      <c r="D12" s="6" t="s">
        <v>20</v>
      </c>
      <c r="E12" s="6" t="s">
        <v>59</v>
      </c>
      <c r="F12" s="6"/>
      <c r="G12" s="6" t="s">
        <v>60</v>
      </c>
      <c r="H12" s="6"/>
      <c r="I12" s="8"/>
      <c r="J12" s="9">
        <v>2200</v>
      </c>
      <c r="K12" s="6" t="s">
        <v>27</v>
      </c>
      <c r="L12" s="10" t="s">
        <v>61</v>
      </c>
    </row>
    <row r="13" spans="1:12" ht="30">
      <c r="A13" s="14" t="str">
        <f>HYPERLINK("http://www.apertureed.com/funding/scholarship/","Aperture Education Essay Scholarship")</f>
        <v>Aperture Education Essay Scholarship</v>
      </c>
      <c r="B13" s="15" t="s">
        <v>62</v>
      </c>
      <c r="C13" s="19" t="s">
        <v>63</v>
      </c>
      <c r="D13" s="6"/>
      <c r="E13" s="6"/>
      <c r="F13" s="6"/>
      <c r="G13" s="10" t="s">
        <v>64</v>
      </c>
      <c r="H13" s="6"/>
      <c r="I13" s="16"/>
      <c r="J13" s="13">
        <v>1000</v>
      </c>
      <c r="K13" s="6" t="s">
        <v>65</v>
      </c>
      <c r="L13" s="10"/>
    </row>
    <row r="14" spans="1:12" ht="45">
      <c r="A14" s="14" t="str">
        <f>HYPERLINK("https://www.animationcareerreview.com/animationcareerreviewcom-aspiring-animation-professional-scholarship-program","Aspiring Animation Professional Scholarship from Animation Career Review")</f>
        <v>Aspiring Animation Professional Scholarship from Animation Career Review</v>
      </c>
      <c r="B14" s="10" t="s">
        <v>66</v>
      </c>
      <c r="C14" s="19" t="s">
        <v>67</v>
      </c>
      <c r="D14" s="6"/>
      <c r="E14" s="6"/>
      <c r="F14" s="6" t="s">
        <v>14</v>
      </c>
      <c r="G14" s="10" t="s">
        <v>68</v>
      </c>
      <c r="H14" s="6"/>
      <c r="I14" s="16"/>
      <c r="J14" s="13">
        <v>1000</v>
      </c>
      <c r="K14" s="6" t="s">
        <v>51</v>
      </c>
      <c r="L14" s="10" t="s">
        <v>69</v>
      </c>
    </row>
    <row r="15" spans="1:12" ht="15.75" customHeight="1">
      <c r="A15" s="4" t="str">
        <f>HYPERLINK("https://www.fashion-schools.org/aspiring-fashion-professional-scholarship-program","Aspiring Fashion Professional")</f>
        <v>Aspiring Fashion Professional</v>
      </c>
      <c r="B15" s="10" t="s">
        <v>70</v>
      </c>
      <c r="C15" s="10" t="s">
        <v>71</v>
      </c>
      <c r="D15" s="6"/>
      <c r="E15" s="6"/>
      <c r="F15" s="6" t="s">
        <v>34</v>
      </c>
      <c r="G15" s="6" t="s">
        <v>15</v>
      </c>
      <c r="H15" s="6"/>
      <c r="I15" s="16"/>
      <c r="J15" s="13">
        <v>1000</v>
      </c>
      <c r="K15" s="6" t="s">
        <v>51</v>
      </c>
      <c r="L15" s="10" t="s">
        <v>72</v>
      </c>
    </row>
    <row r="16" spans="1:12" ht="15.75" customHeight="1">
      <c r="A16" s="14" t="str">
        <f>HYPERLINK("https://www.indian-affairs.org/scholarships.html","Association on American Indian Affairs")</f>
        <v>Association on American Indian Affairs</v>
      </c>
      <c r="B16" s="15" t="s">
        <v>73</v>
      </c>
      <c r="C16" s="20" t="s">
        <v>74</v>
      </c>
      <c r="D16" s="6"/>
      <c r="E16" s="6" t="s">
        <v>75</v>
      </c>
      <c r="F16" s="6"/>
      <c r="G16" s="6"/>
      <c r="H16" s="6" t="s">
        <v>76</v>
      </c>
      <c r="I16" s="16"/>
      <c r="J16" s="8"/>
      <c r="K16" s="6" t="s">
        <v>77</v>
      </c>
      <c r="L16" s="10"/>
    </row>
    <row r="17" spans="1:12" ht="15.75" customHeight="1">
      <c r="A17" s="4" t="str">
        <f>HYPERLINK("http://www.nmavs.org/avs-new-mexico-chapter/scholarships/","AVS New Mexico William M. Olson / Warren  E Taylor Science and Engineering")</f>
        <v>AVS New Mexico William M. Olson / Warren  E Taylor Science and Engineering</v>
      </c>
      <c r="B17" s="10" t="s">
        <v>78</v>
      </c>
      <c r="C17" s="10" t="s">
        <v>79</v>
      </c>
      <c r="D17" s="6" t="s">
        <v>20</v>
      </c>
      <c r="E17" s="21"/>
      <c r="F17" s="6" t="s">
        <v>14</v>
      </c>
      <c r="G17" s="7" t="s">
        <v>80</v>
      </c>
      <c r="H17" s="6"/>
      <c r="I17" s="16"/>
      <c r="J17" s="13">
        <v>2500</v>
      </c>
      <c r="K17" s="6" t="s">
        <v>81</v>
      </c>
      <c r="L17" s="10" t="s">
        <v>82</v>
      </c>
    </row>
    <row r="18" spans="1:12" ht="15.75" customHeight="1">
      <c r="A18" s="14" t="str">
        <f>HYPERLINK("https://us.axa.com/axa-foundation/AXA-achievement-scholarship.html","AXA Achievement Scholarship")</f>
        <v>AXA Achievement Scholarship</v>
      </c>
      <c r="B18" s="10" t="s">
        <v>83</v>
      </c>
      <c r="C18" s="6" t="s">
        <v>84</v>
      </c>
      <c r="D18" s="6"/>
      <c r="E18" s="6" t="s">
        <v>85</v>
      </c>
      <c r="F18" s="6"/>
      <c r="G18" s="6"/>
      <c r="H18" s="6"/>
      <c r="I18" s="8"/>
      <c r="J18" s="8" t="s">
        <v>86</v>
      </c>
      <c r="K18" s="6" t="s">
        <v>65</v>
      </c>
      <c r="L18" s="10"/>
    </row>
    <row r="19" spans="1:12" ht="15.75" customHeight="1">
      <c r="A19" s="14" t="str">
        <f>HYPERLINK("http://www.studentawardsearch.com/scholarships.htm","B Davis Scholarship")</f>
        <v>B Davis Scholarship</v>
      </c>
      <c r="B19" s="10" t="s">
        <v>87</v>
      </c>
      <c r="C19" s="10" t="s">
        <v>88</v>
      </c>
      <c r="D19" s="6"/>
      <c r="E19" s="6"/>
      <c r="F19" s="6" t="s">
        <v>25</v>
      </c>
      <c r="G19" s="6" t="s">
        <v>89</v>
      </c>
      <c r="H19" s="6"/>
      <c r="I19" s="16"/>
      <c r="J19" s="13">
        <v>1000</v>
      </c>
      <c r="K19" s="6" t="s">
        <v>51</v>
      </c>
      <c r="L19" s="10"/>
    </row>
    <row r="20" spans="1:12" ht="15.75" customHeight="1">
      <c r="A20" s="11" t="str">
        <f>HYPERLINK("http://albuquerquefoundation.org/barnes-w-rose-jr-and-eva-rose-nichol-scholarship-fund-.aspx","Barnes W. Rose Jr. and Eva Rose Nickol Scholarship Program")</f>
        <v>Barnes W. Rose Jr. and Eva Rose Nickol Scholarship Program</v>
      </c>
      <c r="B20" s="10" t="s">
        <v>90</v>
      </c>
      <c r="C20" s="6" t="s">
        <v>91</v>
      </c>
      <c r="D20" s="6" t="s">
        <v>37</v>
      </c>
      <c r="E20" s="6"/>
      <c r="F20" s="6" t="s">
        <v>34</v>
      </c>
      <c r="G20" s="6" t="s">
        <v>68</v>
      </c>
      <c r="H20" s="6" t="s">
        <v>92</v>
      </c>
      <c r="I20" s="8" t="s">
        <v>16</v>
      </c>
      <c r="J20" s="13">
        <v>700</v>
      </c>
      <c r="K20" s="6"/>
      <c r="L20" s="10" t="s">
        <v>93</v>
      </c>
    </row>
    <row r="21" spans="1:12" ht="15.75" customHeight="1">
      <c r="A21" s="14" t="str">
        <f>HYPERLINK("https://minds.marlboro.edu/","Beautiful Minds Challenge-Marlboro College")</f>
        <v>Beautiful Minds Challenge-Marlboro College</v>
      </c>
      <c r="B21" s="12" t="s">
        <v>94</v>
      </c>
      <c r="C21" s="10" t="s">
        <v>95</v>
      </c>
      <c r="D21" s="6"/>
      <c r="E21" s="6"/>
      <c r="F21" s="6"/>
      <c r="G21" s="6" t="s">
        <v>96</v>
      </c>
      <c r="H21" s="6"/>
      <c r="I21" s="8"/>
      <c r="J21" s="8" t="s">
        <v>97</v>
      </c>
      <c r="K21" s="6" t="s">
        <v>65</v>
      </c>
      <c r="L21" s="10"/>
    </row>
    <row r="22" spans="1:12" ht="15.75" customHeight="1">
      <c r="A22" s="11" t="str">
        <f>HYPERLINK("https://www.skincareox.com/scholarship/","Beauty + Wellness Scholarships for Women")</f>
        <v>Beauty + Wellness Scholarships for Women</v>
      </c>
      <c r="B22" s="6" t="s">
        <v>98</v>
      </c>
      <c r="C22" s="6" t="s">
        <v>99</v>
      </c>
      <c r="D22" s="6"/>
      <c r="E22" s="6" t="s">
        <v>100</v>
      </c>
      <c r="F22" s="6" t="s">
        <v>14</v>
      </c>
      <c r="G22" s="6"/>
      <c r="H22" s="6"/>
      <c r="I22" s="8"/>
      <c r="J22" s="13">
        <v>500</v>
      </c>
      <c r="K22" s="10" t="s">
        <v>101</v>
      </c>
      <c r="L22" s="10"/>
    </row>
    <row r="23" spans="1:12" ht="15.75" customHeight="1">
      <c r="A23" s="14" t="str">
        <f>HYPERLINK("http://www.bigsunathletics.com/","BIGSUN Scholarships")</f>
        <v>BIGSUN Scholarships</v>
      </c>
      <c r="B23" s="15" t="s">
        <v>102</v>
      </c>
      <c r="C23" s="19" t="s">
        <v>103</v>
      </c>
      <c r="D23" s="6"/>
      <c r="E23" s="6"/>
      <c r="F23" s="6" t="s">
        <v>34</v>
      </c>
      <c r="G23" s="6" t="s">
        <v>26</v>
      </c>
      <c r="H23" s="6"/>
      <c r="I23" s="16"/>
      <c r="J23" s="13">
        <v>500</v>
      </c>
      <c r="K23" s="6" t="s">
        <v>27</v>
      </c>
      <c r="L23" s="10"/>
    </row>
    <row r="24" spans="1:12" ht="15.75" customHeight="1">
      <c r="A24" s="14" t="str">
        <f>HYPERLINK("https://nmbar.org/breakinggood","Breaking Good Video Contest")</f>
        <v>Breaking Good Video Contest</v>
      </c>
      <c r="B24" s="12" t="s">
        <v>104</v>
      </c>
      <c r="C24" s="6" t="s">
        <v>105</v>
      </c>
      <c r="D24" s="6" t="s">
        <v>20</v>
      </c>
      <c r="E24" s="6"/>
      <c r="F24" s="6"/>
      <c r="G24" s="6"/>
      <c r="H24" s="6"/>
      <c r="I24" s="8"/>
      <c r="J24" s="8" t="s">
        <v>55</v>
      </c>
      <c r="K24" s="6" t="s">
        <v>22</v>
      </c>
      <c r="L24" s="10"/>
    </row>
    <row r="25" spans="1:12" ht="15.75" customHeight="1">
      <c r="A25" s="14" t="str">
        <f>HYPERLINK("http://albuquerquefoundation.org/bryan-cline-memorial-soccer-scholarship-program.aspx","Bryan Cline Memorial Scholarship Program")</f>
        <v>Bryan Cline Memorial Scholarship Program</v>
      </c>
      <c r="B25" s="10" t="s">
        <v>106</v>
      </c>
      <c r="C25" s="6" t="s">
        <v>107</v>
      </c>
      <c r="D25" s="6" t="s">
        <v>108</v>
      </c>
      <c r="E25" s="6"/>
      <c r="F25" s="6" t="s">
        <v>14</v>
      </c>
      <c r="G25" s="6"/>
      <c r="H25" s="6"/>
      <c r="I25" s="8"/>
      <c r="J25" s="13">
        <v>800</v>
      </c>
      <c r="K25" s="6" t="s">
        <v>22</v>
      </c>
      <c r="L25" s="10"/>
    </row>
    <row r="26" spans="1:12" ht="15.75" customHeight="1">
      <c r="A26" s="14" t="str">
        <f>HYPERLINK("https://www.scholarsapply.org/burgerkingscholars/information.php","Burger King McLamore Foundation")</f>
        <v>Burger King McLamore Foundation</v>
      </c>
      <c r="B26" s="10" t="s">
        <v>109</v>
      </c>
      <c r="C26" s="10" t="s">
        <v>110</v>
      </c>
      <c r="D26" s="6"/>
      <c r="E26" s="6"/>
      <c r="F26" s="6" t="s">
        <v>14</v>
      </c>
      <c r="G26" s="6"/>
      <c r="H26" s="6" t="s">
        <v>76</v>
      </c>
      <c r="I26" s="16"/>
      <c r="J26" s="8" t="s">
        <v>111</v>
      </c>
      <c r="K26" s="6" t="s">
        <v>65</v>
      </c>
      <c r="L26" s="10"/>
    </row>
    <row r="27" spans="1:12" ht="15.75" customHeight="1">
      <c r="A27" s="14" t="str">
        <f>HYPERLINK("http://www.camillarowe.org/","Camilla Rowe Memorial Scholarship")</f>
        <v>Camilla Rowe Memorial Scholarship</v>
      </c>
      <c r="B27" s="15" t="s">
        <v>112</v>
      </c>
      <c r="C27" s="10" t="s">
        <v>113</v>
      </c>
      <c r="D27" s="6" t="s">
        <v>114</v>
      </c>
      <c r="E27" s="6"/>
      <c r="F27" s="6" t="s">
        <v>14</v>
      </c>
      <c r="G27" s="6" t="s">
        <v>115</v>
      </c>
      <c r="H27" s="6"/>
      <c r="I27" s="16"/>
      <c r="J27" s="13">
        <v>1200</v>
      </c>
      <c r="K27" s="6" t="s">
        <v>81</v>
      </c>
      <c r="L27" s="10"/>
    </row>
    <row r="28" spans="1:12" ht="15.75" customHeight="1">
      <c r="A28" s="22" t="str">
        <f>HYPERLINK("https://carsonscholars.org/scholarships/","Carson Scholarship Fund")</f>
        <v>Carson Scholarship Fund</v>
      </c>
      <c r="B28" s="23" t="s">
        <v>116</v>
      </c>
      <c r="C28" s="10" t="s">
        <v>117</v>
      </c>
      <c r="D28" s="6"/>
      <c r="E28" s="6"/>
      <c r="F28" s="6"/>
      <c r="G28" s="6" t="s">
        <v>118</v>
      </c>
      <c r="H28" s="6" t="s">
        <v>119</v>
      </c>
      <c r="I28" s="16"/>
      <c r="J28" s="9">
        <v>1000</v>
      </c>
      <c r="K28" s="6" t="s">
        <v>120</v>
      </c>
      <c r="L28" s="10"/>
    </row>
    <row r="29" spans="1:12" ht="15.75" customHeight="1">
      <c r="A29" s="18" t="str">
        <f>HYPERLINK("https://www.chairish.com/pages/scholarship?utm_source=SIFM_P1&amp;utm_medium=SIFM_email&amp;utm_campaign=SIFM","Charish Scholarship Program")</f>
        <v>Charish Scholarship Program</v>
      </c>
      <c r="B29" s="10"/>
      <c r="C29" s="6" t="s">
        <v>121</v>
      </c>
      <c r="D29" s="10"/>
      <c r="E29" s="10"/>
      <c r="F29" s="10" t="s">
        <v>14</v>
      </c>
      <c r="G29" s="10" t="s">
        <v>122</v>
      </c>
      <c r="H29" s="10" t="s">
        <v>50</v>
      </c>
      <c r="I29" s="8"/>
      <c r="J29" s="13">
        <v>2500</v>
      </c>
      <c r="K29" s="10" t="s">
        <v>123</v>
      </c>
      <c r="L29" s="10"/>
    </row>
    <row r="30" spans="1:12" ht="15.75" customHeight="1">
      <c r="A30" s="14" t="str">
        <f>HYPERLINK("http://www.onnsfa.org/FundingTypes/ChiefManuelito.aspx","Chief Manuelito")</f>
        <v>Chief Manuelito</v>
      </c>
      <c r="B30" s="10" t="s">
        <v>124</v>
      </c>
      <c r="C30" s="6" t="s">
        <v>125</v>
      </c>
      <c r="D30" s="10"/>
      <c r="E30" s="10" t="s">
        <v>126</v>
      </c>
      <c r="F30" s="10" t="s">
        <v>14</v>
      </c>
      <c r="G30" s="10"/>
      <c r="H30" s="10" t="s">
        <v>127</v>
      </c>
      <c r="I30" s="8"/>
      <c r="J30" s="13">
        <v>7000</v>
      </c>
      <c r="K30" s="10" t="s">
        <v>128</v>
      </c>
      <c r="L30" s="10"/>
    </row>
    <row r="31" spans="1:12" ht="15.75" customHeight="1">
      <c r="A31" s="14" t="str">
        <f>HYPERLINK("https://christensenhymas.com/about-us/community-involvement/general-scholarship/","Christensen &amp; Humas General Scholarship")</f>
        <v>Christensen &amp; Humas General Scholarship</v>
      </c>
      <c r="B31" s="10" t="s">
        <v>129</v>
      </c>
      <c r="C31" s="10" t="s">
        <v>130</v>
      </c>
      <c r="D31" s="10"/>
      <c r="E31" s="10"/>
      <c r="F31" s="10"/>
      <c r="G31" s="10"/>
      <c r="H31" s="10" t="s">
        <v>131</v>
      </c>
      <c r="I31" s="8"/>
      <c r="J31" s="24">
        <v>1000</v>
      </c>
      <c r="K31" s="10" t="s">
        <v>132</v>
      </c>
      <c r="L31" s="10"/>
    </row>
    <row r="32" spans="1:12" ht="15.75" customHeight="1">
      <c r="A32" s="14" t="str">
        <f>HYPERLINK("https://www.scholarsapply.org/churchsscholars/","Church's Community Scholars Program")</f>
        <v>Church's Community Scholars Program</v>
      </c>
      <c r="B32" s="6" t="s">
        <v>133</v>
      </c>
      <c r="C32" s="6" t="s">
        <v>134</v>
      </c>
      <c r="D32" s="6"/>
      <c r="E32" s="6" t="s">
        <v>59</v>
      </c>
      <c r="F32" s="6" t="s">
        <v>14</v>
      </c>
      <c r="G32" s="6"/>
      <c r="H32" s="6" t="s">
        <v>135</v>
      </c>
      <c r="I32" s="8"/>
      <c r="J32" s="9">
        <v>1000</v>
      </c>
      <c r="K32" s="7" t="s">
        <v>17</v>
      </c>
      <c r="L32" s="10"/>
    </row>
    <row r="33" spans="1:12" ht="15.75" customHeight="1">
      <c r="A33" s="14" t="str">
        <f>HYPERLINK("https://www.cnm.edu/depts/outreach/dual-credit/dual-credit-ambassador","CNM Dual Credit Student Ambassador")</f>
        <v>CNM Dual Credit Student Ambassador</v>
      </c>
      <c r="B33" s="10" t="s">
        <v>136</v>
      </c>
      <c r="C33" s="10" t="s">
        <v>137</v>
      </c>
      <c r="D33" s="6"/>
      <c r="E33" s="6"/>
      <c r="F33" s="6"/>
      <c r="G33" s="6"/>
      <c r="H33" s="6"/>
      <c r="I33" s="8"/>
      <c r="J33" s="13">
        <v>300</v>
      </c>
      <c r="K33" s="6" t="s">
        <v>138</v>
      </c>
      <c r="L33" s="10"/>
    </row>
    <row r="34" spans="1:12" ht="15.75" customHeight="1">
      <c r="A34" s="14" t="str">
        <f>HYPERLINK("http://www.coca-colascholarsfoundation.org/apply/","Coco-Cola Scholars Program")</f>
        <v>Coco-Cola Scholars Program</v>
      </c>
      <c r="B34" s="10" t="s">
        <v>139</v>
      </c>
      <c r="C34" s="10" t="s">
        <v>140</v>
      </c>
      <c r="D34" s="6"/>
      <c r="E34" s="6" t="s">
        <v>141</v>
      </c>
      <c r="F34" s="6" t="s">
        <v>14</v>
      </c>
      <c r="G34" s="6"/>
      <c r="H34" s="6"/>
      <c r="I34" s="8"/>
      <c r="J34" s="9">
        <v>20000</v>
      </c>
      <c r="K34" s="6" t="s">
        <v>31</v>
      </c>
      <c r="L34" s="10"/>
    </row>
    <row r="35" spans="1:12" ht="15.75" customHeight="1">
      <c r="A35" s="11" t="str">
        <f>HYPERLINK("https://ctcl.org/2018-scholarship-application/","Colleges That Change Lives")</f>
        <v>Colleges That Change Lives</v>
      </c>
      <c r="B35" s="12" t="s">
        <v>142</v>
      </c>
      <c r="C35" s="6" t="s">
        <v>143</v>
      </c>
      <c r="D35" s="6"/>
      <c r="E35" s="6"/>
      <c r="F35" s="6"/>
      <c r="G35" s="6"/>
      <c r="H35" s="6"/>
      <c r="I35" s="8"/>
      <c r="J35" s="7" t="s">
        <v>144</v>
      </c>
      <c r="K35" s="6" t="s">
        <v>22</v>
      </c>
      <c r="L35" s="10"/>
    </row>
    <row r="36" spans="1:12" ht="15.75" customHeight="1">
      <c r="A36" s="25" t="str">
        <f>HYPERLINK("https://optimist-club-of-albuquerque.portalbuzz.com/Page/39451","Communication Contest for the Deaf and Hard of Hearing, Optimist Club of Albuquerque")</f>
        <v>Communication Contest for the Deaf and Hard of Hearing, Optimist Club of Albuquerque</v>
      </c>
      <c r="B36" s="26" t="s">
        <v>145</v>
      </c>
      <c r="C36" s="6" t="s">
        <v>146</v>
      </c>
      <c r="D36" s="15"/>
      <c r="E36" s="6" t="s">
        <v>147</v>
      </c>
      <c r="F36" s="15"/>
      <c r="G36" s="6" t="s">
        <v>148</v>
      </c>
      <c r="H36" s="15"/>
      <c r="I36" s="16"/>
      <c r="J36" s="13">
        <v>2500</v>
      </c>
      <c r="K36" s="6" t="s">
        <v>149</v>
      </c>
      <c r="L36" s="10"/>
    </row>
    <row r="37" spans="1:12" ht="15.75" customHeight="1">
      <c r="A37" s="14" t="str">
        <f>HYPERLINK("https://www.nmact.org/compete-with-class/","Compete with Class Sportsmanship Scholarships")</f>
        <v>Compete with Class Sportsmanship Scholarships</v>
      </c>
      <c r="B37" s="27" t="s">
        <v>150</v>
      </c>
      <c r="C37" s="10" t="s">
        <v>151</v>
      </c>
      <c r="D37" s="6"/>
      <c r="E37" s="6"/>
      <c r="F37" s="6" t="s">
        <v>14</v>
      </c>
      <c r="G37" s="6" t="s">
        <v>80</v>
      </c>
      <c r="H37" s="6"/>
      <c r="I37" s="8"/>
      <c r="J37" s="13">
        <v>1500</v>
      </c>
      <c r="K37" s="6" t="s">
        <v>120</v>
      </c>
      <c r="L37" s="10"/>
    </row>
    <row r="38" spans="1:12" ht="15.75" customHeight="1">
      <c r="A38" s="14" t="str">
        <f>HYPERLINK("https://coolidgescholars.org/","Coolidge Scholarship")</f>
        <v>Coolidge Scholarship</v>
      </c>
      <c r="B38" s="6" t="s">
        <v>152</v>
      </c>
      <c r="C38" s="10" t="s">
        <v>153</v>
      </c>
      <c r="D38" s="6"/>
      <c r="E38" s="6" t="s">
        <v>154</v>
      </c>
      <c r="F38" s="6" t="s">
        <v>155</v>
      </c>
      <c r="G38" s="6" t="s">
        <v>156</v>
      </c>
      <c r="H38" s="6"/>
      <c r="I38" s="8"/>
      <c r="J38" s="8" t="s">
        <v>157</v>
      </c>
      <c r="K38" s="6" t="s">
        <v>120</v>
      </c>
      <c r="L38" s="10"/>
    </row>
    <row r="39" spans="1:12" ht="15.75" customHeight="1">
      <c r="A39" s="14" t="str">
        <f>HYPERLINK("https://www.cuanm.com/scholarships/","Credit Union Association of New Mexico")</f>
        <v>Credit Union Association of New Mexico</v>
      </c>
      <c r="B39" s="15" t="s">
        <v>158</v>
      </c>
      <c r="C39" s="10" t="s">
        <v>159</v>
      </c>
      <c r="D39" s="7"/>
      <c r="E39" s="7" t="s">
        <v>59</v>
      </c>
      <c r="F39" s="7" t="s">
        <v>14</v>
      </c>
      <c r="G39" s="6"/>
      <c r="H39" s="6" t="s">
        <v>160</v>
      </c>
      <c r="I39" s="16" t="s">
        <v>16</v>
      </c>
      <c r="J39" s="8"/>
      <c r="K39" s="6" t="s">
        <v>17</v>
      </c>
      <c r="L39" s="10"/>
    </row>
    <row r="40" spans="1:12" ht="15.75" customHeight="1">
      <c r="A40" s="18" t="str">
        <f>HYPERLINK("http://nmact.powermediallc.org/nmaa-foundation-scholarships/dan-and-lucille-woodgray-gladiator-athletic-scholarship-presented-by-subway/","Dan and Lucille Wood / Gray Gladiator Athletic Scholarship Page")</f>
        <v>Dan and Lucille Wood / Gray Gladiator Athletic Scholarship Page</v>
      </c>
      <c r="B40" s="27" t="s">
        <v>161</v>
      </c>
      <c r="C40" s="10" t="s">
        <v>162</v>
      </c>
      <c r="D40" s="6"/>
      <c r="E40" s="6"/>
      <c r="F40" s="6" t="s">
        <v>14</v>
      </c>
      <c r="G40" s="6"/>
      <c r="H40" s="6" t="s">
        <v>163</v>
      </c>
      <c r="I40" s="16"/>
      <c r="J40" s="9">
        <v>1000</v>
      </c>
      <c r="K40" s="6" t="s">
        <v>120</v>
      </c>
      <c r="L40" s="10"/>
    </row>
    <row r="41" spans="1:12" ht="15.75" customHeight="1">
      <c r="A41" s="14" t="str">
        <f>HYPERLINK("http://www.danielsfund.org/Scholarships/","Daniels Fund")</f>
        <v>Daniels Fund</v>
      </c>
      <c r="B41" s="12" t="s">
        <v>164</v>
      </c>
      <c r="C41" s="10" t="s">
        <v>165</v>
      </c>
      <c r="D41" s="7"/>
      <c r="E41" s="7" t="s">
        <v>166</v>
      </c>
      <c r="F41" s="7" t="s">
        <v>14</v>
      </c>
      <c r="G41" s="6"/>
      <c r="H41" s="6" t="s">
        <v>167</v>
      </c>
      <c r="I41" s="7" t="s">
        <v>16</v>
      </c>
      <c r="J41" s="8" t="s">
        <v>157</v>
      </c>
      <c r="K41" s="6" t="s">
        <v>138</v>
      </c>
      <c r="L41" s="10"/>
    </row>
    <row r="42" spans="1:12" ht="15.75" customHeight="1">
      <c r="A42" s="14" t="str">
        <f>HYPERLINK("http://albuquerquefoundation.org/david-r-woodling-memorial-scholarship.aspx","David R. Woodling Memorial Scholarship")</f>
        <v>David R. Woodling Memorial Scholarship</v>
      </c>
      <c r="B42" s="6" t="s">
        <v>168</v>
      </c>
      <c r="C42" s="6" t="s">
        <v>169</v>
      </c>
      <c r="D42" s="6"/>
      <c r="E42" s="6" t="s">
        <v>59</v>
      </c>
      <c r="F42" s="6" t="s">
        <v>14</v>
      </c>
      <c r="G42" s="6" t="s">
        <v>38</v>
      </c>
      <c r="H42" s="6" t="s">
        <v>170</v>
      </c>
      <c r="I42" s="8"/>
      <c r="J42" s="9">
        <v>4600</v>
      </c>
      <c r="K42" s="6" t="s">
        <v>27</v>
      </c>
      <c r="L42" s="10" t="s">
        <v>171</v>
      </c>
    </row>
    <row r="43" spans="1:12" ht="15.75" customHeight="1">
      <c r="A43" s="14" t="str">
        <f>HYPERLINK("https://www.deca.org/high-school-programs/scholarships/","DECA Student Scholarship: Marriott International")</f>
        <v>DECA Student Scholarship: Marriott International</v>
      </c>
      <c r="B43" s="15"/>
      <c r="C43" s="6" t="s">
        <v>172</v>
      </c>
      <c r="D43" s="6"/>
      <c r="E43" s="6"/>
      <c r="F43" s="6"/>
      <c r="G43" s="6"/>
      <c r="H43" s="6"/>
      <c r="I43" s="16"/>
      <c r="J43" s="9">
        <v>2000</v>
      </c>
      <c r="K43" s="6" t="s">
        <v>120</v>
      </c>
      <c r="L43" s="10" t="s">
        <v>173</v>
      </c>
    </row>
    <row r="44" spans="1:12" ht="15.75" customHeight="1">
      <c r="A44" s="14" t="str">
        <f>HYPERLINK("https://www.deca.org/high-school-programs/scholarships/","DECA Student Scholarship: NAPA Auto Parts")</f>
        <v>DECA Student Scholarship: NAPA Auto Parts</v>
      </c>
      <c r="B44" s="15" t="s">
        <v>174</v>
      </c>
      <c r="C44" s="6" t="s">
        <v>175</v>
      </c>
      <c r="D44" s="6"/>
      <c r="E44" s="6"/>
      <c r="F44" s="6"/>
      <c r="G44" s="6"/>
      <c r="H44" s="6"/>
      <c r="I44" s="16"/>
      <c r="J44" s="9">
        <v>1000</v>
      </c>
      <c r="K44" s="6" t="s">
        <v>120</v>
      </c>
      <c r="L44" s="10" t="s">
        <v>176</v>
      </c>
    </row>
    <row r="45" spans="1:12" ht="15.75" customHeight="1">
      <c r="A45" s="25" t="str">
        <f>HYPERLINK("https://www.deca.org/high-school-programs/scholarships/","DECA Student Scholarship: National Technical Honor Society")</f>
        <v>DECA Student Scholarship: National Technical Honor Society</v>
      </c>
      <c r="B45" s="15" t="s">
        <v>174</v>
      </c>
      <c r="C45" s="6" t="s">
        <v>177</v>
      </c>
      <c r="D45" s="15"/>
      <c r="E45" s="15"/>
      <c r="F45" s="6"/>
      <c r="G45" s="15"/>
      <c r="H45" s="15"/>
      <c r="I45" s="16"/>
      <c r="J45" s="9">
        <v>1000</v>
      </c>
      <c r="K45" s="6" t="s">
        <v>120</v>
      </c>
      <c r="L45" s="10"/>
    </row>
    <row r="46" spans="1:12" ht="15.75" customHeight="1">
      <c r="A46" s="25" t="str">
        <f>HYPERLINK("https://www.deca.org/high-school-programs/scholarships/","DECA Student Scholarship: Otis Spunkmeyer")</f>
        <v>DECA Student Scholarship: Otis Spunkmeyer</v>
      </c>
      <c r="B46" s="15" t="s">
        <v>174</v>
      </c>
      <c r="C46" s="6" t="s">
        <v>178</v>
      </c>
      <c r="D46" s="15"/>
      <c r="E46" s="15"/>
      <c r="F46" s="6"/>
      <c r="G46" s="15"/>
      <c r="H46" s="15"/>
      <c r="I46" s="16"/>
      <c r="J46" s="9">
        <v>1000</v>
      </c>
      <c r="K46" s="6" t="s">
        <v>120</v>
      </c>
      <c r="L46" s="10"/>
    </row>
    <row r="47" spans="1:12" ht="15.75" customHeight="1">
      <c r="A47" s="25" t="str">
        <f>HYPERLINK("https://www.deca.org/high-school-programs/scholarships/","DECA Student Scholarship: Publix")</f>
        <v>DECA Student Scholarship: Publix</v>
      </c>
      <c r="B47" s="15" t="s">
        <v>174</v>
      </c>
      <c r="C47" s="6" t="s">
        <v>179</v>
      </c>
      <c r="D47" s="15"/>
      <c r="E47" s="15"/>
      <c r="F47" s="6"/>
      <c r="G47" s="15"/>
      <c r="H47" s="15"/>
      <c r="I47" s="16"/>
      <c r="J47" s="9">
        <v>1000</v>
      </c>
      <c r="K47" s="6" t="s">
        <v>120</v>
      </c>
      <c r="L47" s="10"/>
    </row>
    <row r="48" spans="1:12" ht="15.75" customHeight="1">
      <c r="A48" s="14" t="str">
        <f>HYPERLINK("https://scholarship.collegecovered.com/rules.html","Discover Student Loans Scholarship Award Sweepstakes")</f>
        <v>Discover Student Loans Scholarship Award Sweepstakes</v>
      </c>
      <c r="B48" s="10" t="s">
        <v>180</v>
      </c>
      <c r="C48" s="10" t="s">
        <v>181</v>
      </c>
      <c r="D48" s="6"/>
      <c r="E48" s="6" t="s">
        <v>147</v>
      </c>
      <c r="F48" s="6" t="s">
        <v>14</v>
      </c>
      <c r="G48" s="6"/>
      <c r="H48" s="6"/>
      <c r="I48" s="8"/>
      <c r="J48" s="13">
        <v>10000</v>
      </c>
      <c r="K48" s="6" t="s">
        <v>101</v>
      </c>
      <c r="L48" s="10"/>
    </row>
    <row r="49" spans="1:12" ht="15.75" customHeight="1">
      <c r="A49" s="14" t="str">
        <f>HYPERLINK("https://www.drpeppertuition.com/","Dr. Pepper Tuition Giveaway")</f>
        <v>Dr. Pepper Tuition Giveaway</v>
      </c>
      <c r="B49" s="5" t="str">
        <f>HYPERLINK("https://www.drpeppertuition.com/","https://www.drpeppertuition.com/")</f>
        <v>https://www.drpeppertuition.com/</v>
      </c>
      <c r="C49" s="6" t="s">
        <v>182</v>
      </c>
      <c r="D49" s="6"/>
      <c r="E49" s="6" t="s">
        <v>147</v>
      </c>
      <c r="F49" s="6"/>
      <c r="G49" s="6" t="s">
        <v>183</v>
      </c>
      <c r="H49" s="6"/>
      <c r="I49" s="8"/>
      <c r="J49" s="9" t="s">
        <v>184</v>
      </c>
      <c r="K49" s="6" t="s">
        <v>31</v>
      </c>
      <c r="L49" s="10"/>
    </row>
    <row r="50" spans="1:12" ht="15.75" customHeight="1">
      <c r="A50" s="14" t="str">
        <f>HYPERLINK("https://www.nfaausa.com/scholarships/","Easton/NFAA Scholarship")</f>
        <v>Easton/NFAA Scholarship</v>
      </c>
      <c r="B50" s="10" t="s">
        <v>185</v>
      </c>
      <c r="C50" s="10" t="s">
        <v>186</v>
      </c>
      <c r="D50" s="6"/>
      <c r="E50" s="6"/>
      <c r="F50" s="6"/>
      <c r="G50" s="6"/>
      <c r="H50" s="6" t="s">
        <v>50</v>
      </c>
      <c r="I50" s="8"/>
      <c r="J50" s="8" t="s">
        <v>187</v>
      </c>
      <c r="K50" s="6" t="s">
        <v>65</v>
      </c>
      <c r="L50" s="10"/>
    </row>
    <row r="51" spans="1:12" ht="15.75" customHeight="1">
      <c r="A51" s="18" t="str">
        <f>HYPERLINK("http://nmact.powermediallc.org/nmaa-foundation-scholarships/el-richardsfrancis-walsh-spirit-scholarship-presented-by-varsity-spirit/","El Richards/Francis Walsh Spirit Scholarship")</f>
        <v>El Richards/Francis Walsh Spirit Scholarship</v>
      </c>
      <c r="B51" s="23" t="s">
        <v>188</v>
      </c>
      <c r="C51" s="6" t="s">
        <v>189</v>
      </c>
      <c r="D51" s="6"/>
      <c r="E51" s="6"/>
      <c r="F51" s="6" t="s">
        <v>14</v>
      </c>
      <c r="G51" s="6" t="s">
        <v>80</v>
      </c>
      <c r="H51" s="6" t="s">
        <v>21</v>
      </c>
      <c r="I51" s="16"/>
      <c r="J51" s="9">
        <v>1000</v>
      </c>
      <c r="K51" s="6" t="s">
        <v>120</v>
      </c>
      <c r="L51" s="10"/>
    </row>
    <row r="52" spans="1:12" ht="15.75" customHeight="1">
      <c r="A52" s="4" t="str">
        <f>HYPERLINK("https://www.elks.org/scholars/scholarships/mvs.cfm","Elks Most Valuable Student Contest")</f>
        <v>Elks Most Valuable Student Contest</v>
      </c>
      <c r="B52" s="10" t="s">
        <v>190</v>
      </c>
      <c r="C52" s="19" t="s">
        <v>191</v>
      </c>
      <c r="D52" s="10"/>
      <c r="E52" s="10" t="s">
        <v>85</v>
      </c>
      <c r="F52" s="10" t="s">
        <v>34</v>
      </c>
      <c r="G52" s="6"/>
      <c r="H52" s="6"/>
      <c r="I52" s="8"/>
      <c r="J52" s="8" t="s">
        <v>111</v>
      </c>
      <c r="K52" s="6" t="s">
        <v>138</v>
      </c>
      <c r="L52" s="10"/>
    </row>
    <row r="53" spans="1:12" ht="15.75" customHeight="1">
      <c r="A53" s="25" t="str">
        <f>HYPERLINK("https://www.dukecityques.com/single-post/2018/03/18/Omega-Psi-Phi-is-accepting-scholarship-applications-from-high-school-seniors","Ernest Everett Just Scholarship, Omega PsiPhil Fraternity, Inc.")</f>
        <v>Ernest Everett Just Scholarship, Omega PsiPhil Fraternity, Inc.</v>
      </c>
      <c r="B53" s="10" t="s">
        <v>192</v>
      </c>
      <c r="C53" s="10" t="s">
        <v>193</v>
      </c>
      <c r="D53" s="15"/>
      <c r="E53" s="15"/>
      <c r="F53" s="6" t="s">
        <v>14</v>
      </c>
      <c r="G53" s="6" t="s">
        <v>194</v>
      </c>
      <c r="H53" s="15" t="s">
        <v>76</v>
      </c>
      <c r="I53" s="8"/>
      <c r="J53" s="13">
        <v>1000</v>
      </c>
      <c r="K53" s="6" t="s">
        <v>51</v>
      </c>
      <c r="L53" s="10"/>
    </row>
    <row r="54" spans="1:12" ht="15.75" customHeight="1">
      <c r="A54" s="14" t="str">
        <f>HYPERLINK("https://sites.google.com/site/awmmath/programs/essay-contest","Essay Content from Association for Women in Mathematics ")</f>
        <v xml:space="preserve">Essay Content from Association for Women in Mathematics </v>
      </c>
      <c r="B54" s="10" t="s">
        <v>195</v>
      </c>
      <c r="C54" s="10" t="s">
        <v>196</v>
      </c>
      <c r="D54" s="6"/>
      <c r="E54" s="6"/>
      <c r="F54" s="6"/>
      <c r="G54" s="6" t="s">
        <v>26</v>
      </c>
      <c r="H54" s="6"/>
      <c r="I54" s="16"/>
      <c r="J54" s="8"/>
      <c r="K54" s="6" t="s">
        <v>120</v>
      </c>
      <c r="L54" s="10"/>
    </row>
    <row r="55" spans="1:12" ht="15.75" customHeight="1">
      <c r="A55" s="4" t="str">
        <f>HYPERLINK("https://optimist-club-of-albuquerque.portalbuzz.com/Page/39451","Essay Contest, Optimist Club of Albuquerque")</f>
        <v>Essay Contest, Optimist Club of Albuquerque</v>
      </c>
      <c r="B55" s="23" t="s">
        <v>145</v>
      </c>
      <c r="C55" s="6" t="s">
        <v>197</v>
      </c>
      <c r="D55" s="6"/>
      <c r="E55" s="6" t="s">
        <v>147</v>
      </c>
      <c r="F55" s="6"/>
      <c r="G55" s="6" t="s">
        <v>198</v>
      </c>
      <c r="H55" s="6"/>
      <c r="I55" s="16"/>
      <c r="J55" s="13">
        <v>2500</v>
      </c>
      <c r="K55" s="6" t="s">
        <v>149</v>
      </c>
      <c r="L55" s="10"/>
    </row>
    <row r="56" spans="1:12" ht="15.75" customHeight="1">
      <c r="A56" s="4" t="str">
        <f>HYPERLINK("http://nmact.powermediallc.org/nmaa-foundation-scholarships/extraordinary-participation-scholarship/","Extraordinary Participation Scholarship ")</f>
        <v xml:space="preserve">Extraordinary Participation Scholarship </v>
      </c>
      <c r="B56" s="12" t="s">
        <v>188</v>
      </c>
      <c r="C56" s="10" t="s">
        <v>199</v>
      </c>
      <c r="D56" s="6"/>
      <c r="E56" s="6"/>
      <c r="F56" s="6" t="s">
        <v>14</v>
      </c>
      <c r="G56" s="6" t="s">
        <v>80</v>
      </c>
      <c r="H56" s="6" t="s">
        <v>163</v>
      </c>
      <c r="I56" s="8"/>
      <c r="J56" s="13">
        <v>2500</v>
      </c>
      <c r="K56" s="6" t="s">
        <v>120</v>
      </c>
      <c r="L56" s="10"/>
    </row>
    <row r="57" spans="1:12" ht="15.75" customHeight="1">
      <c r="A57" s="28" t="s">
        <v>200</v>
      </c>
      <c r="B57" s="12"/>
      <c r="C57" s="6" t="s">
        <v>201</v>
      </c>
      <c r="D57" s="6"/>
      <c r="E57" s="6" t="s">
        <v>202</v>
      </c>
      <c r="F57" s="6" t="s">
        <v>14</v>
      </c>
      <c r="G57" s="6"/>
      <c r="H57" s="6" t="s">
        <v>203</v>
      </c>
      <c r="I57" s="16"/>
      <c r="J57" s="8" t="s">
        <v>204</v>
      </c>
      <c r="K57" s="6" t="s">
        <v>27</v>
      </c>
      <c r="L57" s="10" t="s">
        <v>205</v>
      </c>
    </row>
    <row r="58" spans="1:12" ht="15.75" customHeight="1">
      <c r="A58" s="4" t="str">
        <f>HYPERLINK("https://www.fishertalwar.com/scholarship/","Fisher &amp; Talwar")</f>
        <v>Fisher &amp; Talwar</v>
      </c>
      <c r="B58" s="6" t="s">
        <v>206</v>
      </c>
      <c r="C58" s="10" t="s">
        <v>207</v>
      </c>
      <c r="D58" s="6"/>
      <c r="E58" s="6" t="s">
        <v>85</v>
      </c>
      <c r="F58" s="6"/>
      <c r="G58" s="6" t="s">
        <v>208</v>
      </c>
      <c r="H58" s="6" t="s">
        <v>209</v>
      </c>
      <c r="I58" s="8"/>
      <c r="J58" s="13">
        <v>1000</v>
      </c>
      <c r="K58" s="6" t="s">
        <v>138</v>
      </c>
      <c r="L58" s="10"/>
    </row>
    <row r="59" spans="1:12" ht="15.75" customHeight="1">
      <c r="A59" s="4" t="str">
        <f>HYPERLINK("https://www.thegatesscholarship.org//","Gates Scholarship")</f>
        <v>Gates Scholarship</v>
      </c>
      <c r="B59" s="12" t="s">
        <v>210</v>
      </c>
      <c r="C59" s="10" t="s">
        <v>211</v>
      </c>
      <c r="D59" s="10"/>
      <c r="E59" s="10" t="s">
        <v>212</v>
      </c>
      <c r="F59" s="10" t="s">
        <v>34</v>
      </c>
      <c r="G59" s="10" t="s">
        <v>213</v>
      </c>
      <c r="H59" s="10" t="s">
        <v>214</v>
      </c>
      <c r="I59" s="7" t="s">
        <v>16</v>
      </c>
      <c r="J59" s="8" t="s">
        <v>157</v>
      </c>
      <c r="K59" s="10" t="s">
        <v>120</v>
      </c>
      <c r="L59" s="10"/>
    </row>
    <row r="60" spans="1:12" ht="15.75" customHeight="1">
      <c r="A60" s="4" t="str">
        <f>HYPERLINK("https://www.reaganfoundation.org/education/scholarship-programs/ge-reagan-foundation-scholarship-program/","GE-Reagan Foudation Scholarship Program")</f>
        <v>GE-Reagan Foudation Scholarship Program</v>
      </c>
      <c r="B60" s="10" t="s">
        <v>215</v>
      </c>
      <c r="C60" s="10" t="s">
        <v>216</v>
      </c>
      <c r="D60" s="7"/>
      <c r="E60" s="7" t="s">
        <v>85</v>
      </c>
      <c r="F60" s="7" t="s">
        <v>34</v>
      </c>
      <c r="G60" s="6"/>
      <c r="H60" s="6" t="s">
        <v>21</v>
      </c>
      <c r="I60" s="16" t="s">
        <v>16</v>
      </c>
      <c r="J60" s="13">
        <v>10000</v>
      </c>
      <c r="K60" s="6" t="s">
        <v>120</v>
      </c>
      <c r="L60" s="10"/>
    </row>
    <row r="61" spans="1:12" ht="15.75" customHeight="1">
      <c r="A61" s="4" t="str">
        <f>HYPERLINK("http://www.genkellyscholarship.com/index.html","Gen and Kelly Tanable Scholarship")</f>
        <v>Gen and Kelly Tanable Scholarship</v>
      </c>
      <c r="B61" s="15" t="s">
        <v>217</v>
      </c>
      <c r="C61" s="10" t="s">
        <v>218</v>
      </c>
      <c r="D61" s="6"/>
      <c r="E61" s="6" t="s">
        <v>219</v>
      </c>
      <c r="F61" s="6"/>
      <c r="G61" s="6" t="s">
        <v>220</v>
      </c>
      <c r="H61" s="6"/>
      <c r="I61" s="16"/>
      <c r="J61" s="13">
        <v>1000</v>
      </c>
      <c r="K61" s="6" t="s">
        <v>65</v>
      </c>
      <c r="L61" s="10"/>
    </row>
    <row r="62" spans="1:12" ht="15.75" customHeight="1">
      <c r="A62" s="22" t="str">
        <f>HYPERLINK("http://www.greatmindsinstem.org/college/henaac-scholarship-program","HENAAC Scholars Program")</f>
        <v>HENAAC Scholars Program</v>
      </c>
      <c r="B62" s="15" t="s">
        <v>221</v>
      </c>
      <c r="C62" s="6" t="s">
        <v>222</v>
      </c>
      <c r="D62" s="6"/>
      <c r="E62" s="6" t="s">
        <v>223</v>
      </c>
      <c r="F62" s="6"/>
      <c r="G62" s="6"/>
      <c r="H62" s="6" t="s">
        <v>21</v>
      </c>
      <c r="I62" s="16"/>
      <c r="J62" s="13" t="s">
        <v>224</v>
      </c>
      <c r="K62" s="6" t="s">
        <v>17</v>
      </c>
      <c r="L62" s="10" t="s">
        <v>225</v>
      </c>
    </row>
    <row r="63" spans="1:12" ht="15.75" customHeight="1">
      <c r="A63" s="4" t="str">
        <f>HYPERLINK("https://www.hexterandbaines.com/scholarship","Hexter &amp; Baines Annual Scholarship Award")</f>
        <v>Hexter &amp; Baines Annual Scholarship Award</v>
      </c>
      <c r="B63" s="6" t="s">
        <v>226</v>
      </c>
      <c r="C63" s="10" t="s">
        <v>227</v>
      </c>
      <c r="D63" s="10"/>
      <c r="E63" s="10"/>
      <c r="F63" s="10" t="s">
        <v>25</v>
      </c>
      <c r="G63" s="6" t="s">
        <v>228</v>
      </c>
      <c r="H63" s="6"/>
      <c r="I63" s="8" t="s">
        <v>16</v>
      </c>
      <c r="J63" s="13">
        <v>1250</v>
      </c>
      <c r="K63" s="6" t="s">
        <v>65</v>
      </c>
      <c r="L63" s="10"/>
    </row>
    <row r="64" spans="1:12" ht="15.75" customHeight="1">
      <c r="A64" s="4" t="str">
        <f>HYPERLINK("https://www.hsf.net/scholarship","Hispanic Scholarship Fund")</f>
        <v>Hispanic Scholarship Fund</v>
      </c>
      <c r="B64" s="15" t="s">
        <v>229</v>
      </c>
      <c r="C64" s="6" t="s">
        <v>230</v>
      </c>
      <c r="D64" s="6"/>
      <c r="E64" s="6" t="s">
        <v>231</v>
      </c>
      <c r="F64" s="6" t="s">
        <v>34</v>
      </c>
      <c r="G64" s="6"/>
      <c r="H64" s="6" t="s">
        <v>21</v>
      </c>
      <c r="I64" s="16"/>
      <c r="J64" s="8" t="s">
        <v>232</v>
      </c>
      <c r="K64" s="6" t="s">
        <v>81</v>
      </c>
      <c r="L64" s="10"/>
    </row>
    <row r="65" spans="1:12" ht="15.75" customHeight="1">
      <c r="A65" s="4" t="str">
        <f>HYPERLINK("http://honorsgradu.com/scholarship/","HonorsGradU")</f>
        <v>HonorsGradU</v>
      </c>
      <c r="B65" s="15" t="s">
        <v>233</v>
      </c>
      <c r="C65" s="10" t="s">
        <v>234</v>
      </c>
      <c r="D65" s="6"/>
      <c r="E65" s="6"/>
      <c r="F65" s="6" t="s">
        <v>14</v>
      </c>
      <c r="G65" s="6"/>
      <c r="H65" s="6"/>
      <c r="I65" s="16"/>
      <c r="J65" s="13">
        <v>10000</v>
      </c>
      <c r="K65" s="6" t="s">
        <v>22</v>
      </c>
      <c r="L65" s="10"/>
    </row>
    <row r="66" spans="1:12" ht="15.75" customHeight="1">
      <c r="A66" s="4" t="str">
        <f>HYPERLINK("https://hs-nm.org/2018/03/09/1741/","Humanist Society of New Mexico Scholarship Writing Contest")</f>
        <v>Humanist Society of New Mexico Scholarship Writing Contest</v>
      </c>
      <c r="B66" s="12" t="s">
        <v>235</v>
      </c>
      <c r="C66" s="6" t="s">
        <v>236</v>
      </c>
      <c r="D66" s="6" t="s">
        <v>237</v>
      </c>
      <c r="E66" s="6"/>
      <c r="F66" s="6" t="s">
        <v>14</v>
      </c>
      <c r="G66" s="6" t="s">
        <v>238</v>
      </c>
      <c r="H66" s="6" t="s">
        <v>239</v>
      </c>
      <c r="I66" s="8" t="s">
        <v>16</v>
      </c>
      <c r="J66" s="8" t="s">
        <v>240</v>
      </c>
      <c r="K66" s="6" t="s">
        <v>81</v>
      </c>
      <c r="L66" s="10"/>
    </row>
    <row r="67" spans="1:12" ht="15.75" customHeight="1">
      <c r="A67" s="4" t="str">
        <f>HYPERLINK("https://www.imagine-america.org/students/scholarships-education/highschoolscholarships/","Imagine America Foundation")</f>
        <v>Imagine America Foundation</v>
      </c>
      <c r="B67" s="10" t="s">
        <v>241</v>
      </c>
      <c r="C67" s="10" t="s">
        <v>242</v>
      </c>
      <c r="D67" s="6"/>
      <c r="E67" s="6"/>
      <c r="F67" s="6"/>
      <c r="G67" s="6"/>
      <c r="H67" s="6" t="s">
        <v>76</v>
      </c>
      <c r="I67" s="16" t="s">
        <v>16</v>
      </c>
      <c r="J67" s="13">
        <v>1000</v>
      </c>
      <c r="K67" s="6" t="s">
        <v>65</v>
      </c>
      <c r="L67" s="10"/>
    </row>
    <row r="68" spans="1:12" ht="15.75" customHeight="1">
      <c r="A68" s="14" t="str">
        <f>HYPERLINK("https://www.ahlef.org/academic-scholarships","Incoming Freshman Scholarship from American Hotel &amp; Lodging Educational Foundation")</f>
        <v>Incoming Freshman Scholarship from American Hotel &amp; Lodging Educational Foundation</v>
      </c>
      <c r="B68" s="15" t="s">
        <v>243</v>
      </c>
      <c r="C68" s="10" t="s">
        <v>244</v>
      </c>
      <c r="D68" s="6"/>
      <c r="E68" s="6" t="s">
        <v>85</v>
      </c>
      <c r="F68" s="6" t="s">
        <v>14</v>
      </c>
      <c r="G68" s="6"/>
      <c r="H68" s="6" t="s">
        <v>50</v>
      </c>
      <c r="I68" s="16"/>
      <c r="J68" s="8" t="s">
        <v>245</v>
      </c>
      <c r="K68" s="6" t="s">
        <v>17</v>
      </c>
      <c r="L68" s="10" t="s">
        <v>246</v>
      </c>
    </row>
    <row r="69" spans="1:12" ht="15.75" customHeight="1">
      <c r="A69" s="18" t="str">
        <f>HYPERLINK("https://www.indianpueblo.org/the-indian-pueblo-cultural-centers-bob-chavez-scholarship-for-the-arts/","Indian Pueblo Cultural Center's Bob Chavez Scholarship for the Arts")</f>
        <v>Indian Pueblo Cultural Center's Bob Chavez Scholarship for the Arts</v>
      </c>
      <c r="B69" s="6"/>
      <c r="C69" s="6" t="s">
        <v>247</v>
      </c>
      <c r="D69" s="6"/>
      <c r="E69" s="6" t="s">
        <v>75</v>
      </c>
      <c r="F69" s="6"/>
      <c r="G69" s="6" t="s">
        <v>248</v>
      </c>
      <c r="H69" s="6" t="s">
        <v>50</v>
      </c>
      <c r="I69" s="8"/>
      <c r="J69" s="9" t="s">
        <v>249</v>
      </c>
      <c r="K69" s="6" t="s">
        <v>81</v>
      </c>
      <c r="L69" s="10" t="s">
        <v>250</v>
      </c>
    </row>
    <row r="70" spans="1:12" ht="15.75" customHeight="1">
      <c r="A70" s="4" t="str">
        <f>HYPERLINK("http://www.jkcf.org/","Jack Kent Cooke Foundation College Scholarship Program")</f>
        <v>Jack Kent Cooke Foundation College Scholarship Program</v>
      </c>
      <c r="B70" s="6" t="s">
        <v>251</v>
      </c>
      <c r="C70" s="6" t="s">
        <v>252</v>
      </c>
      <c r="D70" s="6"/>
      <c r="E70" s="6"/>
      <c r="F70" s="6"/>
      <c r="G70" s="6"/>
      <c r="H70" s="6" t="s">
        <v>253</v>
      </c>
      <c r="I70" s="8" t="s">
        <v>16</v>
      </c>
      <c r="J70" s="9">
        <v>40000</v>
      </c>
      <c r="K70" s="6" t="s">
        <v>138</v>
      </c>
      <c r="L70" s="10"/>
    </row>
    <row r="71" spans="1:12" ht="15.75" customHeight="1">
      <c r="A71" s="4" t="str">
        <f>HYPERLINK("https://www.jackierobinson.org/apply/applicants/","Jackie Robinson Foundation")</f>
        <v>Jackie Robinson Foundation</v>
      </c>
      <c r="B71" s="6" t="s">
        <v>254</v>
      </c>
      <c r="C71" s="10" t="s">
        <v>255</v>
      </c>
      <c r="D71" s="7"/>
      <c r="E71" s="7" t="s">
        <v>85</v>
      </c>
      <c r="F71" s="7" t="s">
        <v>14</v>
      </c>
      <c r="G71" s="10" t="s">
        <v>256</v>
      </c>
      <c r="H71" s="10" t="s">
        <v>257</v>
      </c>
      <c r="I71" s="8" t="s">
        <v>16</v>
      </c>
      <c r="J71" s="9">
        <v>30000</v>
      </c>
      <c r="K71" s="6" t="s">
        <v>120</v>
      </c>
      <c r="L71" s="10"/>
    </row>
    <row r="72" spans="1:12" ht="15.75" customHeight="1">
      <c r="A72" s="4" t="str">
        <f>HYPERLINK("http://albuquerquefoundation.org/james-ledwith-memorial-scholarship.aspx","James Ledwith Memorial Scholarship")</f>
        <v>James Ledwith Memorial Scholarship</v>
      </c>
      <c r="B72" s="10" t="s">
        <v>258</v>
      </c>
      <c r="C72" s="10" t="s">
        <v>259</v>
      </c>
      <c r="D72" s="6" t="s">
        <v>260</v>
      </c>
      <c r="E72" s="6"/>
      <c r="F72" s="6"/>
      <c r="G72" s="6" t="s">
        <v>261</v>
      </c>
      <c r="H72" s="6"/>
      <c r="I72" s="8"/>
      <c r="J72" s="9">
        <v>1000</v>
      </c>
      <c r="K72" s="6" t="s">
        <v>22</v>
      </c>
      <c r="L72" s="10"/>
    </row>
    <row r="73" spans="1:12" ht="15.75" customHeight="1">
      <c r="A73" s="4" t="str">
        <f>HYPERLINK("http://www.dlenm.org/jms-scholarship.aspx","Janet Montoya Schoeppner Scholarship")</f>
        <v>Janet Montoya Schoeppner Scholarship</v>
      </c>
      <c r="B73" s="6" t="s">
        <v>262</v>
      </c>
      <c r="C73" s="6" t="s">
        <v>263</v>
      </c>
      <c r="D73" s="6"/>
      <c r="E73" s="6"/>
      <c r="F73" s="6" t="s">
        <v>34</v>
      </c>
      <c r="G73" s="6" t="s">
        <v>264</v>
      </c>
      <c r="H73" s="6" t="s">
        <v>21</v>
      </c>
      <c r="I73" s="8"/>
      <c r="J73" s="9">
        <v>500</v>
      </c>
      <c r="K73" s="6" t="s">
        <v>81</v>
      </c>
      <c r="L73" s="10" t="s">
        <v>265</v>
      </c>
    </row>
    <row r="74" spans="1:12" ht="15.75" customHeight="1">
      <c r="A74" s="22" t="str">
        <f>HYPERLINK("https://www.yourturn2apply.com/newmexico.htm","Jiffy Lube Teen Driver Scholarship")</f>
        <v>Jiffy Lube Teen Driver Scholarship</v>
      </c>
      <c r="B74" s="15" t="s">
        <v>266</v>
      </c>
      <c r="C74" s="10" t="s">
        <v>267</v>
      </c>
      <c r="D74" s="6"/>
      <c r="E74" s="6"/>
      <c r="F74" s="6"/>
      <c r="G74" s="6" t="s">
        <v>208</v>
      </c>
      <c r="H74" s="6"/>
      <c r="I74" s="16"/>
      <c r="J74" s="13" t="s">
        <v>268</v>
      </c>
      <c r="K74" s="6" t="s">
        <v>22</v>
      </c>
      <c r="L74" s="10"/>
    </row>
    <row r="75" spans="1:12" ht="15.75" customHeight="1">
      <c r="A75" s="22" t="str">
        <f>HYPERLINK("https://www.jfklibrary.org/Education/Profile-in-Courage-Essay-Contest.aspx","John F Kennedy Presidential Scholarship")</f>
        <v>John F Kennedy Presidential Scholarship</v>
      </c>
      <c r="B75" s="29" t="s">
        <v>269</v>
      </c>
      <c r="C75" s="10" t="s">
        <v>270</v>
      </c>
      <c r="D75" s="6"/>
      <c r="E75" s="6"/>
      <c r="F75" s="6"/>
      <c r="G75" s="6" t="s">
        <v>271</v>
      </c>
      <c r="H75" s="6"/>
      <c r="I75" s="16"/>
      <c r="J75" s="8" t="s">
        <v>272</v>
      </c>
      <c r="K75" s="6" t="s">
        <v>120</v>
      </c>
      <c r="L75" s="10"/>
    </row>
    <row r="76" spans="1:12" ht="15.75" customHeight="1">
      <c r="A76" s="4" t="str">
        <f>HYPERLINK("https://www.kirtlandfcu.org/2018-scholarship.aspx","Kirtland Federal Credit Union Club F.I.T. Scholarship")</f>
        <v>Kirtland Federal Credit Union Club F.I.T. Scholarship</v>
      </c>
      <c r="B76" s="30" t="str">
        <f>HYPERLINK("https://www.kirtlandfcu.org/2018-scholarship.aspx","https://www.kirtlandfcu.org/2018-scholarship.aspx")</f>
        <v>https://www.kirtlandfcu.org/2018-scholarship.aspx</v>
      </c>
      <c r="C76" s="10" t="s">
        <v>273</v>
      </c>
      <c r="D76" s="6"/>
      <c r="E76" s="6"/>
      <c r="F76" s="6"/>
      <c r="G76" s="6" t="s">
        <v>274</v>
      </c>
      <c r="H76" s="6"/>
      <c r="I76" s="16"/>
      <c r="J76" s="8" t="s">
        <v>275</v>
      </c>
      <c r="K76" s="6" t="s">
        <v>51</v>
      </c>
      <c r="L76" s="10"/>
    </row>
    <row r="77" spans="1:12" ht="15.75" customHeight="1">
      <c r="A77" s="4" t="str">
        <f>HYPERLINK("http://albuquerquefoundation.org/kiwanis-club-of-albuquerque-scholarship.aspx","Kiwanis Club of Albuquerque Scholarship Program")</f>
        <v>Kiwanis Club of Albuquerque Scholarship Program</v>
      </c>
      <c r="B77" s="10" t="s">
        <v>276</v>
      </c>
      <c r="C77" s="6" t="s">
        <v>277</v>
      </c>
      <c r="D77" s="10" t="s">
        <v>260</v>
      </c>
      <c r="E77" s="10"/>
      <c r="F77" s="10" t="s">
        <v>14</v>
      </c>
      <c r="G77" s="10" t="s">
        <v>261</v>
      </c>
      <c r="H77" s="10" t="s">
        <v>278</v>
      </c>
      <c r="I77" s="8" t="s">
        <v>16</v>
      </c>
      <c r="J77" s="9">
        <v>1000</v>
      </c>
      <c r="K77" s="6" t="s">
        <v>22</v>
      </c>
      <c r="L77" s="10" t="s">
        <v>279</v>
      </c>
    </row>
    <row r="78" spans="1:12" ht="15.75" customHeight="1">
      <c r="A78" s="18" t="str">
        <f>HYPERLINK("https://www.latutors123.com/scholarship/","LA Tutors")</f>
        <v>LA Tutors</v>
      </c>
      <c r="B78" s="10"/>
      <c r="C78" s="10" t="s">
        <v>280</v>
      </c>
      <c r="D78" s="6"/>
      <c r="E78" s="6" t="s">
        <v>281</v>
      </c>
      <c r="F78" s="6"/>
      <c r="G78" s="6" t="s">
        <v>282</v>
      </c>
      <c r="H78" s="6" t="s">
        <v>209</v>
      </c>
      <c r="I78" s="8"/>
      <c r="J78" s="13">
        <v>500</v>
      </c>
      <c r="K78" s="6" t="s">
        <v>283</v>
      </c>
      <c r="L78" s="10"/>
    </row>
    <row r="79" spans="1:12" ht="15.75" customHeight="1">
      <c r="A79" s="4" t="str">
        <f>HYPERLINK("https://www.dukecityques.com/single-post/2018/03/18/Omega-Psi-Phi-is-accepting-scholarship-applications-from-high-school-seniors","Leadership Scholarship, Omega PsiPhil Fraternity, Inc.")</f>
        <v>Leadership Scholarship, Omega PsiPhil Fraternity, Inc.</v>
      </c>
      <c r="B79" s="10" t="s">
        <v>192</v>
      </c>
      <c r="C79" s="10" t="s">
        <v>284</v>
      </c>
      <c r="D79" s="6"/>
      <c r="E79" s="6"/>
      <c r="F79" s="6" t="s">
        <v>14</v>
      </c>
      <c r="G79" s="6" t="s">
        <v>285</v>
      </c>
      <c r="H79" s="6" t="s">
        <v>76</v>
      </c>
      <c r="I79" s="8"/>
      <c r="J79" s="13">
        <v>750</v>
      </c>
      <c r="K79" s="6" t="s">
        <v>51</v>
      </c>
      <c r="L79" s="10"/>
    </row>
    <row r="80" spans="1:12" ht="15.75" customHeight="1">
      <c r="A80" s="4" t="str">
        <f>HYPERLINK("https://levinescholars.uncc.edu/","Levine Scholarship")</f>
        <v>Levine Scholarship</v>
      </c>
      <c r="B80" s="6" t="s">
        <v>286</v>
      </c>
      <c r="C80" s="6" t="s">
        <v>287</v>
      </c>
      <c r="D80" s="7"/>
      <c r="E80" s="7" t="s">
        <v>219</v>
      </c>
      <c r="F80" s="7" t="s">
        <v>14</v>
      </c>
      <c r="G80" s="6" t="s">
        <v>68</v>
      </c>
      <c r="H80" s="6"/>
      <c r="I80" s="8"/>
      <c r="J80" s="9">
        <v>155000</v>
      </c>
      <c r="K80" s="6" t="s">
        <v>31</v>
      </c>
      <c r="L80" s="10"/>
    </row>
    <row r="81" spans="1:12" ht="15.75" customHeight="1">
      <c r="A81" s="25" t="str">
        <f>HYPERLINK("https://www.lnesc.org/lnsf","LULAC National Scholarship Award: General Award")</f>
        <v>LULAC National Scholarship Award: General Award</v>
      </c>
      <c r="B81" s="12" t="s">
        <v>288</v>
      </c>
      <c r="C81" s="6" t="s">
        <v>289</v>
      </c>
      <c r="D81" s="6"/>
      <c r="E81" s="6"/>
      <c r="F81" s="6" t="s">
        <v>34</v>
      </c>
      <c r="G81" s="6"/>
      <c r="H81" s="6"/>
      <c r="I81" s="16"/>
      <c r="J81" s="8" t="s">
        <v>290</v>
      </c>
      <c r="K81" s="6" t="s">
        <v>22</v>
      </c>
      <c r="L81" s="10"/>
    </row>
    <row r="82" spans="1:12" ht="15.75" customHeight="1">
      <c r="A82" s="25" t="str">
        <f>HYPERLINK("https://www.lnesc.org/lnsf","LULAC National Scholarship Award: Honors Award")</f>
        <v>LULAC National Scholarship Award: Honors Award</v>
      </c>
      <c r="B82" s="12" t="s">
        <v>288</v>
      </c>
      <c r="C82" s="6" t="s">
        <v>289</v>
      </c>
      <c r="D82" s="6"/>
      <c r="E82" s="6"/>
      <c r="F82" s="6" t="s">
        <v>34</v>
      </c>
      <c r="G82" s="6"/>
      <c r="H82" s="6" t="s">
        <v>291</v>
      </c>
      <c r="I82" s="16"/>
      <c r="J82" s="8" t="s">
        <v>292</v>
      </c>
      <c r="K82" s="6" t="s">
        <v>22</v>
      </c>
      <c r="L82" s="10"/>
    </row>
    <row r="83" spans="1:12" ht="15.75" customHeight="1">
      <c r="A83" s="4" t="str">
        <f>HYPERLINK("https://www.lnesc.org/lnsf","LULAC National Scholarship Award: National Scholastic Achievement Award")</f>
        <v>LULAC National Scholarship Award: National Scholastic Achievement Award</v>
      </c>
      <c r="B83" s="12" t="s">
        <v>288</v>
      </c>
      <c r="C83" s="6" t="s">
        <v>289</v>
      </c>
      <c r="D83" s="6"/>
      <c r="E83" s="6"/>
      <c r="F83" s="6" t="s">
        <v>34</v>
      </c>
      <c r="G83" s="6"/>
      <c r="H83" s="6" t="s">
        <v>203</v>
      </c>
      <c r="I83" s="16"/>
      <c r="J83" s="9">
        <v>2000</v>
      </c>
      <c r="K83" s="6" t="s">
        <v>22</v>
      </c>
      <c r="L83" s="10"/>
    </row>
    <row r="84" spans="1:12" ht="15.75" customHeight="1">
      <c r="A84" s="4" t="str">
        <f>HYPERLINK("http://albuquerquefoundation.org/manuel-lujan-excellence-in-education-scholarship.aspx","Manuel Lujan Excellence in Education")</f>
        <v>Manuel Lujan Excellence in Education</v>
      </c>
      <c r="B84" s="6" t="s">
        <v>293</v>
      </c>
      <c r="C84" s="6" t="s">
        <v>294</v>
      </c>
      <c r="D84" s="10" t="s">
        <v>295</v>
      </c>
      <c r="E84" s="10"/>
      <c r="F84" s="10" t="s">
        <v>14</v>
      </c>
      <c r="G84" s="10"/>
      <c r="H84" s="10" t="s">
        <v>76</v>
      </c>
      <c r="I84" s="8" t="s">
        <v>16</v>
      </c>
      <c r="J84" s="13">
        <v>500</v>
      </c>
      <c r="K84" s="6" t="s">
        <v>81</v>
      </c>
      <c r="L84" s="10"/>
    </row>
    <row r="85" spans="1:12" ht="15.75" customHeight="1">
      <c r="A85" s="18" t="str">
        <f>HYPERLINK("http://nmact.powermediallc.org/nmaa-foundation-scholarships/mario-martinez-memorial-scholarship/","Mario Martinez Memorial Scholarship")</f>
        <v>Mario Martinez Memorial Scholarship</v>
      </c>
      <c r="B85" s="17" t="s">
        <v>296</v>
      </c>
      <c r="C85" s="10" t="s">
        <v>297</v>
      </c>
      <c r="D85" s="6"/>
      <c r="E85" s="6"/>
      <c r="F85" s="6" t="s">
        <v>14</v>
      </c>
      <c r="G85" s="6" t="s">
        <v>80</v>
      </c>
      <c r="H85" s="6" t="s">
        <v>21</v>
      </c>
      <c r="I85" s="8"/>
      <c r="J85" s="9">
        <v>1500</v>
      </c>
      <c r="K85" s="6" t="s">
        <v>120</v>
      </c>
      <c r="L85" s="10"/>
    </row>
    <row r="86" spans="1:12" ht="15.75" customHeight="1">
      <c r="A86" s="4" t="str">
        <f>HYPERLINK("https://www.aca.org/ACA_PROD_IMIS/Docs/Award%20Forms/aca_mlk.pdf","Martin Luther King Jr. Scholarship")</f>
        <v>Martin Luther King Jr. Scholarship</v>
      </c>
      <c r="B86" s="27" t="s">
        <v>298</v>
      </c>
      <c r="C86" s="6" t="s">
        <v>299</v>
      </c>
      <c r="D86" s="6"/>
      <c r="E86" s="6"/>
      <c r="F86" s="6"/>
      <c r="G86" s="7" t="s">
        <v>300</v>
      </c>
      <c r="H86" s="6"/>
      <c r="I86" s="16" t="s">
        <v>16</v>
      </c>
      <c r="J86" s="9">
        <v>2000</v>
      </c>
      <c r="K86" s="6" t="s">
        <v>51</v>
      </c>
      <c r="L86" s="10" t="s">
        <v>301</v>
      </c>
    </row>
    <row r="87" spans="1:12" ht="15.75" customHeight="1">
      <c r="A87" s="4" t="str">
        <f>HYPERLINK("http://www.nmbsmc.net/Scholarship-Information.html","National Association of Buffalo Soldiers and Troopers")</f>
        <v>National Association of Buffalo Soldiers and Troopers</v>
      </c>
      <c r="B87" s="10" t="s">
        <v>302</v>
      </c>
      <c r="C87" s="10" t="s">
        <v>303</v>
      </c>
      <c r="D87" s="6"/>
      <c r="E87" s="6"/>
      <c r="F87" s="6" t="s">
        <v>14</v>
      </c>
      <c r="G87" s="6" t="s">
        <v>304</v>
      </c>
      <c r="H87" s="6" t="s">
        <v>76</v>
      </c>
      <c r="I87" s="8"/>
      <c r="J87" s="13">
        <v>1000</v>
      </c>
      <c r="K87" s="6" t="s">
        <v>51</v>
      </c>
      <c r="L87" s="10"/>
    </row>
    <row r="88" spans="1:12" ht="15.75" customHeight="1">
      <c r="A88" s="4" t="str">
        <f>HYPERLINK("https://www.nhs.us/students/the-nhs-scholarship/?SSO=true","National Honor Society Scholarship")</f>
        <v>National Honor Society Scholarship</v>
      </c>
      <c r="B88" s="10" t="s">
        <v>305</v>
      </c>
      <c r="C88" s="10" t="s">
        <v>306</v>
      </c>
      <c r="D88" s="6"/>
      <c r="E88" s="6"/>
      <c r="F88" s="6" t="s">
        <v>34</v>
      </c>
      <c r="G88" s="6"/>
      <c r="H88" s="6"/>
      <c r="I88" s="16"/>
      <c r="J88" s="8" t="s">
        <v>307</v>
      </c>
      <c r="K88" s="6" t="s">
        <v>65</v>
      </c>
      <c r="L88" s="10"/>
    </row>
    <row r="89" spans="1:12" ht="15.75" customHeight="1">
      <c r="A89" s="22" t="str">
        <f>HYPERLINK("http://www.nrotc.navy.mil/scholarships.html","Naval Reserve Office Training Scholarships")</f>
        <v>Naval Reserve Office Training Scholarships</v>
      </c>
      <c r="B89" s="12" t="s">
        <v>308</v>
      </c>
      <c r="C89" s="6" t="s">
        <v>309</v>
      </c>
      <c r="D89" s="6"/>
      <c r="E89" s="6" t="s">
        <v>310</v>
      </c>
      <c r="F89" s="6" t="s">
        <v>25</v>
      </c>
      <c r="G89" s="6"/>
      <c r="H89" s="6" t="s">
        <v>311</v>
      </c>
      <c r="I89" s="8"/>
      <c r="J89" s="8" t="s">
        <v>240</v>
      </c>
      <c r="K89" s="6" t="s">
        <v>65</v>
      </c>
      <c r="L89" s="10" t="s">
        <v>312</v>
      </c>
    </row>
    <row r="90" spans="1:12" ht="15.75" customHeight="1">
      <c r="A90" s="4" t="str">
        <f>HYPERLINK("https://www.nmeaf.org/new-mexico-education-council#Tab_12?","New Mexico Education Council")</f>
        <v>New Mexico Education Council</v>
      </c>
      <c r="B90" s="6" t="s">
        <v>313</v>
      </c>
      <c r="C90" s="6" t="s">
        <v>314</v>
      </c>
      <c r="D90" s="6"/>
      <c r="E90" s="6" t="s">
        <v>315</v>
      </c>
      <c r="F90" s="6" t="s">
        <v>34</v>
      </c>
      <c r="G90" s="19" t="s">
        <v>316</v>
      </c>
      <c r="H90" s="6"/>
      <c r="I90" s="8"/>
      <c r="J90" s="9">
        <v>1000</v>
      </c>
      <c r="K90" s="6" t="s">
        <v>317</v>
      </c>
      <c r="L90" s="10"/>
    </row>
    <row r="91" spans="1:12" ht="15.75" customHeight="1">
      <c r="A91" s="4" t="str">
        <f>HYPERLINK("http://www.nmffc.org/","New Mexico Friends of Foster Children Educational Award")</f>
        <v>New Mexico Friends of Foster Children Educational Award</v>
      </c>
      <c r="B91" s="15" t="s">
        <v>318</v>
      </c>
      <c r="C91" s="10" t="s">
        <v>319</v>
      </c>
      <c r="D91" s="6"/>
      <c r="E91" s="6"/>
      <c r="F91" s="6"/>
      <c r="G91" s="6"/>
      <c r="H91" s="6"/>
      <c r="I91" s="16"/>
      <c r="J91" s="9">
        <v>1000</v>
      </c>
      <c r="K91" s="6" t="s">
        <v>132</v>
      </c>
      <c r="L91" s="10"/>
    </row>
    <row r="92" spans="1:12" ht="15.75" customHeight="1">
      <c r="A92" s="31" t="str">
        <f>HYPERLINK("https://www.newmexicopta.org/","New Mexico PTA: 2018-2019 Land of Enchantment PTA Scholarships Program")</f>
        <v>New Mexico PTA: 2018-2019 Land of Enchantment PTA Scholarships Program</v>
      </c>
      <c r="B92" s="10"/>
      <c r="C92" s="6" t="s">
        <v>320</v>
      </c>
      <c r="D92" s="6"/>
      <c r="E92" s="6" t="s">
        <v>59</v>
      </c>
      <c r="F92" s="6" t="s">
        <v>14</v>
      </c>
      <c r="G92" s="6" t="s">
        <v>321</v>
      </c>
      <c r="H92" s="6"/>
      <c r="I92" s="8"/>
      <c r="J92" s="9">
        <v>300</v>
      </c>
      <c r="K92" s="6" t="s">
        <v>51</v>
      </c>
      <c r="L92" s="10"/>
    </row>
    <row r="93" spans="1:12" ht="15.75" customHeight="1">
      <c r="A93" s="4" t="str">
        <f>HYPERLINK("http://nmfrw.com/scholarship-info/","NM Federation of Republican Women Scholarship")</f>
        <v>NM Federation of Republican Women Scholarship</v>
      </c>
      <c r="B93" s="17" t="s">
        <v>322</v>
      </c>
      <c r="C93" s="10" t="s">
        <v>323</v>
      </c>
      <c r="D93" s="6"/>
      <c r="E93" s="6" t="s">
        <v>59</v>
      </c>
      <c r="F93" s="6" t="s">
        <v>34</v>
      </c>
      <c r="G93" s="6" t="s">
        <v>324</v>
      </c>
      <c r="H93" s="6" t="s">
        <v>21</v>
      </c>
      <c r="I93" s="8"/>
      <c r="J93" s="9">
        <v>1500</v>
      </c>
      <c r="K93" s="6" t="s">
        <v>22</v>
      </c>
      <c r="L93" s="10"/>
    </row>
    <row r="94" spans="1:12" ht="15.75" customHeight="1">
      <c r="A94" s="4" t="str">
        <f>HYPERLINK("http://albuquerquefoundation.org/new-mexico-manufactured-housing-association-scholarship-program.aspx","NM Manufactured Housing Association Scholarship Fund")</f>
        <v>NM Manufactured Housing Association Scholarship Fund</v>
      </c>
      <c r="B94" s="10" t="s">
        <v>325</v>
      </c>
      <c r="C94" s="10" t="s">
        <v>326</v>
      </c>
      <c r="D94" s="6"/>
      <c r="E94" s="6" t="s">
        <v>59</v>
      </c>
      <c r="F94" s="6" t="s">
        <v>14</v>
      </c>
      <c r="G94" s="6" t="s">
        <v>68</v>
      </c>
      <c r="H94" s="6" t="s">
        <v>21</v>
      </c>
      <c r="I94" s="8" t="s">
        <v>16</v>
      </c>
      <c r="J94" s="9">
        <v>1000</v>
      </c>
      <c r="K94" s="6" t="s">
        <v>22</v>
      </c>
      <c r="L94" s="10"/>
    </row>
    <row r="95" spans="1:12" ht="15.75" customHeight="1">
      <c r="A95" s="14" t="str">
        <f>HYPERLINK("http://nmact.powermediallc.org/nmaa-foundation-scholarships/activities-scholarship-presented-by-subway/","NMAA Activities Scholarship")</f>
        <v>NMAA Activities Scholarship</v>
      </c>
      <c r="B95" s="27" t="s">
        <v>327</v>
      </c>
      <c r="C95" s="10" t="s">
        <v>328</v>
      </c>
      <c r="D95" s="6"/>
      <c r="E95" s="6"/>
      <c r="F95" s="6" t="s">
        <v>14</v>
      </c>
      <c r="G95" s="6" t="s">
        <v>329</v>
      </c>
      <c r="H95" s="6"/>
      <c r="I95" s="8"/>
      <c r="J95" s="13">
        <v>1000</v>
      </c>
      <c r="K95" s="6" t="s">
        <v>17</v>
      </c>
      <c r="L95" s="10"/>
    </row>
    <row r="96" spans="1:12" ht="15.75" customHeight="1">
      <c r="A96" s="4" t="str">
        <f>HYPERLINK("https://nmasbo.org/recognitions/high-school-scholarships/","NMASBO (NM Association of School Business Officials) High School Scholarship")</f>
        <v>NMASBO (NM Association of School Business Officials) High School Scholarship</v>
      </c>
      <c r="B96" s="10" t="s">
        <v>330</v>
      </c>
      <c r="C96" s="6" t="s">
        <v>331</v>
      </c>
      <c r="D96" s="6"/>
      <c r="E96" s="6" t="s">
        <v>59</v>
      </c>
      <c r="F96" s="6" t="s">
        <v>14</v>
      </c>
      <c r="G96" s="6" t="s">
        <v>332</v>
      </c>
      <c r="H96" s="6" t="s">
        <v>21</v>
      </c>
      <c r="I96" s="8" t="s">
        <v>16</v>
      </c>
      <c r="J96" s="13" t="s">
        <v>333</v>
      </c>
      <c r="K96" s="6" t="s">
        <v>17</v>
      </c>
      <c r="L96" s="10"/>
    </row>
    <row r="97" spans="1:12" ht="15.75" customHeight="1">
      <c r="A97" s="32"/>
      <c r="B97" s="10"/>
      <c r="C97" s="6"/>
      <c r="D97" s="6"/>
      <c r="E97" s="6"/>
      <c r="F97" s="6"/>
      <c r="G97" s="6"/>
      <c r="H97" s="6"/>
      <c r="I97" s="8"/>
      <c r="J97" s="13"/>
      <c r="K97" s="6"/>
      <c r="L97" s="10"/>
    </row>
    <row r="98" spans="1:12" ht="15.75" customHeight="1">
      <c r="A98" s="4" t="str">
        <f>HYPERLINK("https://www.onlinembareport.com/ombar-aspiring-business-professional-scholarship-program","OMBAR ""Aspiring Business ProfessionL"" Scholarship Program")</f>
        <v>OMBAR "Aspiring Business ProfessionL" Scholarship Program</v>
      </c>
      <c r="B98" s="10" t="s">
        <v>334</v>
      </c>
      <c r="C98" s="10" t="s">
        <v>335</v>
      </c>
      <c r="D98" s="6"/>
      <c r="E98" s="6"/>
      <c r="F98" s="6" t="s">
        <v>34</v>
      </c>
      <c r="G98" s="6" t="s">
        <v>15</v>
      </c>
      <c r="H98" s="6"/>
      <c r="I98" s="16"/>
      <c r="J98" s="13">
        <v>1000</v>
      </c>
      <c r="K98" s="6" t="s">
        <v>132</v>
      </c>
      <c r="L98" s="10" t="s">
        <v>336</v>
      </c>
    </row>
    <row r="99" spans="1:12" ht="15.75" customHeight="1">
      <c r="A99" s="4" t="str">
        <f>HYPERLINK("https://optimist-club-of-albuquerque.portalbuzz.com/Page/39451","Oratorical Contest, Optimist Club of Albuquerque")</f>
        <v>Oratorical Contest, Optimist Club of Albuquerque</v>
      </c>
      <c r="B99" s="23" t="s">
        <v>145</v>
      </c>
      <c r="C99" s="6" t="s">
        <v>337</v>
      </c>
      <c r="D99" s="6"/>
      <c r="E99" s="6" t="s">
        <v>147</v>
      </c>
      <c r="F99" s="6"/>
      <c r="G99" s="6" t="s">
        <v>148</v>
      </c>
      <c r="H99" s="6"/>
      <c r="I99" s="16"/>
      <c r="J99" s="13" t="s">
        <v>338</v>
      </c>
      <c r="K99" s="6" t="s">
        <v>149</v>
      </c>
      <c r="L99" s="10"/>
    </row>
    <row r="100" spans="1:12" ht="15.75" customHeight="1">
      <c r="A100" s="4" t="str">
        <f>HYPERLINK("http://otapnm.com/scholarship","Organ Donation Scholarship")</f>
        <v>Organ Donation Scholarship</v>
      </c>
      <c r="B100" s="17" t="s">
        <v>339</v>
      </c>
      <c r="C100" s="10" t="s">
        <v>340</v>
      </c>
      <c r="D100" s="6"/>
      <c r="E100" s="6" t="s">
        <v>59</v>
      </c>
      <c r="F100" s="6" t="s">
        <v>34</v>
      </c>
      <c r="G100" s="6" t="s">
        <v>341</v>
      </c>
      <c r="H100" s="6" t="s">
        <v>50</v>
      </c>
      <c r="I100" s="8"/>
      <c r="J100" s="13">
        <v>500</v>
      </c>
      <c r="K100" s="6" t="s">
        <v>17</v>
      </c>
      <c r="L100" s="10"/>
    </row>
    <row r="101" spans="1:12" ht="15.75" customHeight="1">
      <c r="A101" s="18" t="str">
        <f>HYPERLINK("http://albuquerquefoundation.org/american-advertising-federation-nm-internship-scholarship.aspx","Pam Schneider Memorial Scholarship Presented by American Advertising Federation of New Mexico")</f>
        <v>Pam Schneider Memorial Scholarship Presented by American Advertising Federation of New Mexico</v>
      </c>
      <c r="B101" s="15"/>
      <c r="C101" s="6" t="s">
        <v>342</v>
      </c>
      <c r="D101" s="6"/>
      <c r="E101" s="6" t="s">
        <v>59</v>
      </c>
      <c r="F101" s="6"/>
      <c r="G101" s="6" t="s">
        <v>343</v>
      </c>
      <c r="H101" s="6" t="s">
        <v>21</v>
      </c>
      <c r="I101" s="16"/>
      <c r="J101" s="9">
        <v>1400</v>
      </c>
      <c r="K101" s="6" t="s">
        <v>81</v>
      </c>
      <c r="L101" s="10" t="s">
        <v>344</v>
      </c>
    </row>
    <row r="102" spans="1:12" ht="15.75" customHeight="1">
      <c r="A102" s="4" t="str">
        <f>HYPERLINK("http://nmpeo.org/peo/","P.E.O. Star Scholarship")</f>
        <v>P.E.O. Star Scholarship</v>
      </c>
      <c r="B102" s="15" t="s">
        <v>345</v>
      </c>
      <c r="C102" s="6" t="s">
        <v>346</v>
      </c>
      <c r="D102" s="6"/>
      <c r="E102" s="6" t="s">
        <v>219</v>
      </c>
      <c r="F102" s="6" t="s">
        <v>14</v>
      </c>
      <c r="G102" s="6" t="s">
        <v>347</v>
      </c>
      <c r="H102" s="6" t="s">
        <v>21</v>
      </c>
      <c r="I102" s="16"/>
      <c r="J102" s="9">
        <v>2500</v>
      </c>
      <c r="K102" s="6" t="s">
        <v>138</v>
      </c>
      <c r="L102" s="10"/>
    </row>
    <row r="103" spans="1:12" ht="15.75" customHeight="1">
      <c r="A103" s="14" t="str">
        <f>HYPERLINK("https://www.hurtcallbert.com/scholarships/","Parnall Law Distracted Driving Scholarship")</f>
        <v>Parnall Law Distracted Driving Scholarship</v>
      </c>
      <c r="B103" s="6" t="s">
        <v>348</v>
      </c>
      <c r="C103" s="10" t="s">
        <v>349</v>
      </c>
      <c r="D103" s="7"/>
      <c r="E103" s="7" t="s">
        <v>147</v>
      </c>
      <c r="F103" s="7" t="s">
        <v>14</v>
      </c>
      <c r="G103" s="6" t="s">
        <v>68</v>
      </c>
      <c r="H103" s="6"/>
      <c r="I103" s="8"/>
      <c r="J103" s="8" t="s">
        <v>350</v>
      </c>
      <c r="K103" s="6" t="s">
        <v>81</v>
      </c>
      <c r="L103" s="10"/>
    </row>
    <row r="104" spans="1:12" ht="15.75" customHeight="1">
      <c r="A104" s="4" t="str">
        <f>HYPERLINK("https://www.typologycentral.com/forums/scholarship.php","Personality Type Scholarship, Typology Central")</f>
        <v>Personality Type Scholarship, Typology Central</v>
      </c>
      <c r="B104" s="10" t="s">
        <v>351</v>
      </c>
      <c r="C104" s="10" t="s">
        <v>352</v>
      </c>
      <c r="D104" s="6"/>
      <c r="E104" s="6"/>
      <c r="F104" s="6" t="s">
        <v>14</v>
      </c>
      <c r="G104" s="6" t="s">
        <v>353</v>
      </c>
      <c r="H104" s="6"/>
      <c r="I104" s="16"/>
      <c r="J104" s="13" t="s">
        <v>354</v>
      </c>
      <c r="K104" s="6" t="s">
        <v>27</v>
      </c>
      <c r="L104" s="10" t="s">
        <v>355</v>
      </c>
    </row>
    <row r="105" spans="1:12" ht="15.75" customHeight="1">
      <c r="A105" s="4" t="str">
        <f>HYPERLINK("https://pprize.princeton.edu/apply","Princeton Prize in Race Relations")</f>
        <v>Princeton Prize in Race Relations</v>
      </c>
      <c r="B105" s="12" t="s">
        <v>356</v>
      </c>
      <c r="C105" s="10" t="s">
        <v>357</v>
      </c>
      <c r="D105" s="6"/>
      <c r="E105" s="6" t="s">
        <v>147</v>
      </c>
      <c r="F105" s="6"/>
      <c r="G105" s="6"/>
      <c r="H105" s="6"/>
      <c r="I105" s="16"/>
      <c r="J105" s="9">
        <v>1000</v>
      </c>
      <c r="K105" s="6" t="s">
        <v>120</v>
      </c>
      <c r="L105" s="10"/>
    </row>
    <row r="106" spans="1:12" ht="15.75" customHeight="1">
      <c r="A106" s="18" t="str">
        <f>HYPERLINK("http://albuquerquefoundation.org/scholarship-for-women-students.aspx","Rae Lee Siporin Scholarship for Women")</f>
        <v>Rae Lee Siporin Scholarship for Women</v>
      </c>
      <c r="B106" s="6"/>
      <c r="C106" s="6" t="s">
        <v>358</v>
      </c>
      <c r="D106" s="6"/>
      <c r="E106" s="21"/>
      <c r="F106" s="6"/>
      <c r="G106" s="6" t="s">
        <v>359</v>
      </c>
      <c r="H106" s="6"/>
      <c r="I106" s="8" t="s">
        <v>360</v>
      </c>
      <c r="J106" s="9">
        <v>1000</v>
      </c>
      <c r="K106" s="6" t="s">
        <v>27</v>
      </c>
      <c r="L106" s="10"/>
    </row>
    <row r="107" spans="1:12" ht="15.75" customHeight="1">
      <c r="A107" s="4" t="str">
        <f>HYPERLINK("http://www.realworlddesignchallenge.org/","Real World Design Challenge")</f>
        <v>Real World Design Challenge</v>
      </c>
      <c r="B107" s="6" t="s">
        <v>361</v>
      </c>
      <c r="C107" s="6" t="s">
        <v>362</v>
      </c>
      <c r="D107" s="6"/>
      <c r="E107" s="21"/>
      <c r="F107" s="6"/>
      <c r="G107" s="21"/>
      <c r="H107" s="6"/>
      <c r="I107" s="8"/>
      <c r="J107" s="9">
        <v>50000</v>
      </c>
      <c r="K107" s="6" t="s">
        <v>138</v>
      </c>
      <c r="L107" s="10"/>
    </row>
    <row r="108" spans="1:12" ht="15.75" customHeight="1">
      <c r="A108" s="4" t="str">
        <f>HYPERLINK("https://www.redfin.com/resources/scholarship","Redfin Scholarship")</f>
        <v>Redfin Scholarship</v>
      </c>
      <c r="B108" s="6" t="s">
        <v>363</v>
      </c>
      <c r="C108" s="10" t="s">
        <v>364</v>
      </c>
      <c r="D108" s="6"/>
      <c r="E108" s="6" t="s">
        <v>147</v>
      </c>
      <c r="F108" s="6" t="s">
        <v>14</v>
      </c>
      <c r="G108" s="6"/>
      <c r="H108" s="6" t="s">
        <v>131</v>
      </c>
      <c r="I108" s="8"/>
      <c r="J108" s="13">
        <v>2500</v>
      </c>
      <c r="K108" s="6" t="s">
        <v>365</v>
      </c>
      <c r="L108" s="10"/>
    </row>
    <row r="109" spans="1:12" ht="15.75" customHeight="1">
      <c r="A109" s="4" t="str">
        <f>HYPERLINK("http://albuquerquefoundation.org/robby-baker-memorial-scholarship.aspx","Robby Baker Memorial Scholarship")</f>
        <v>Robby Baker Memorial Scholarship</v>
      </c>
      <c r="B109" s="33" t="str">
        <f>HYPERLINK("http://albuquerquefoundation.org/robby-baker-memorial-scholarship.aspx","http://albuquerquefoundation.org/robby-baker-memorial-scholarship.aspx")</f>
        <v>http://albuquerquefoundation.org/robby-baker-memorial-scholarship.aspx</v>
      </c>
      <c r="C109" s="10" t="s">
        <v>366</v>
      </c>
      <c r="D109" s="6" t="s">
        <v>367</v>
      </c>
      <c r="E109" s="6"/>
      <c r="F109" s="6" t="s">
        <v>14</v>
      </c>
      <c r="G109" s="6"/>
      <c r="H109" s="6" t="s">
        <v>50</v>
      </c>
      <c r="I109" s="8" t="s">
        <v>16</v>
      </c>
      <c r="J109" s="13">
        <v>850</v>
      </c>
      <c r="K109" s="6" t="s">
        <v>22</v>
      </c>
      <c r="L109" s="10"/>
    </row>
    <row r="110" spans="1:12" ht="15.75" customHeight="1">
      <c r="A110" s="4" t="str">
        <f>HYPERLINK("https://www.ronbrown.org/section/apply/program-description","Ron Brown Scholar Program")</f>
        <v>Ron Brown Scholar Program</v>
      </c>
      <c r="B110" s="10" t="s">
        <v>368</v>
      </c>
      <c r="C110" s="10" t="s">
        <v>369</v>
      </c>
      <c r="D110" s="7"/>
      <c r="E110" s="7" t="s">
        <v>370</v>
      </c>
      <c r="F110" s="7" t="s">
        <v>14</v>
      </c>
      <c r="G110" s="6" t="s">
        <v>371</v>
      </c>
      <c r="H110" s="6"/>
      <c r="I110" s="8" t="s">
        <v>16</v>
      </c>
      <c r="J110" s="13">
        <v>10000</v>
      </c>
      <c r="K110" s="6" t="s">
        <v>372</v>
      </c>
      <c r="L110" s="10"/>
    </row>
    <row r="111" spans="1:12" ht="15.75" customHeight="1">
      <c r="A111" s="18" t="str">
        <f>HYPERLINK("https://www.rover.com/college-scholarship/ ","Rover")</f>
        <v>Rover</v>
      </c>
      <c r="B111" s="10"/>
      <c r="C111" s="34" t="s">
        <v>373</v>
      </c>
      <c r="D111" s="7"/>
      <c r="E111" s="7" t="s">
        <v>147</v>
      </c>
      <c r="F111" s="7" t="s">
        <v>374</v>
      </c>
      <c r="G111" s="6" t="s">
        <v>321</v>
      </c>
      <c r="H111" s="6" t="s">
        <v>21</v>
      </c>
      <c r="I111" s="16"/>
      <c r="J111" s="9">
        <v>2500</v>
      </c>
      <c r="K111" s="6" t="s">
        <v>81</v>
      </c>
      <c r="L111" s="10" t="s">
        <v>375</v>
      </c>
    </row>
    <row r="112" spans="1:12" ht="15.75" customHeight="1">
      <c r="A112" s="4" t="str">
        <f>HYPERLINK("http://scholarships4moms.net/scholarship-application-for-moms","Scholarship4Moms")</f>
        <v>Scholarship4Moms</v>
      </c>
      <c r="B112" s="10" t="s">
        <v>376</v>
      </c>
      <c r="C112" s="35"/>
      <c r="D112" s="7"/>
      <c r="E112" s="7" t="s">
        <v>147</v>
      </c>
      <c r="F112" s="7"/>
      <c r="G112" s="6"/>
      <c r="H112" s="6"/>
      <c r="I112" s="16"/>
      <c r="J112" s="9">
        <v>10000</v>
      </c>
      <c r="K112" s="6" t="s">
        <v>101</v>
      </c>
      <c r="L112" s="10"/>
    </row>
    <row r="113" spans="1:12" ht="15.75" customHeight="1">
      <c r="A113" s="4" t="str">
        <f>HYPERLINK("https://schooltutoring.com/scholarship/","SchoolTutoring Scholarship Essay Contest")</f>
        <v>SchoolTutoring Scholarship Essay Contest</v>
      </c>
      <c r="B113" s="6" t="s">
        <v>377</v>
      </c>
      <c r="C113" s="36" t="s">
        <v>378</v>
      </c>
      <c r="D113" s="6"/>
      <c r="E113" s="6"/>
      <c r="F113" s="6"/>
      <c r="G113" s="6" t="s">
        <v>64</v>
      </c>
      <c r="H113" s="6"/>
      <c r="I113" s="8"/>
      <c r="J113" s="13">
        <v>1000</v>
      </c>
      <c r="K113" s="6" t="s">
        <v>138</v>
      </c>
      <c r="L113" s="10"/>
    </row>
    <row r="114" spans="1:12" ht="15.75" customHeight="1">
      <c r="A114" s="4" t="str">
        <f>HYPERLINK("https://www.scienceambassadorscholarship.org/","Science Ambassador Scholarship")</f>
        <v>Science Ambassador Scholarship</v>
      </c>
      <c r="B114" s="15" t="s">
        <v>379</v>
      </c>
      <c r="C114" s="36" t="s">
        <v>380</v>
      </c>
      <c r="D114" s="6"/>
      <c r="E114" s="6"/>
      <c r="F114" s="6" t="s">
        <v>34</v>
      </c>
      <c r="G114" s="6"/>
      <c r="H114" s="6"/>
      <c r="I114" s="16"/>
      <c r="J114" s="8" t="s">
        <v>157</v>
      </c>
      <c r="K114" s="6" t="s">
        <v>65</v>
      </c>
      <c r="L114" s="10" t="s">
        <v>225</v>
      </c>
    </row>
    <row r="115" spans="1:12" ht="15.75" customHeight="1">
      <c r="A115" s="4" t="str">
        <f>HYPERLINK("http://workinjuryaz.com/phoenix-workers-compensation-lawyers/","SCW Dreamers Scholarship")</f>
        <v>SCW Dreamers Scholarship</v>
      </c>
      <c r="B115" s="10" t="s">
        <v>381</v>
      </c>
      <c r="C115" s="37"/>
      <c r="D115" s="7"/>
      <c r="E115" s="7" t="s">
        <v>382</v>
      </c>
      <c r="F115" s="7"/>
      <c r="G115" s="6"/>
      <c r="H115" s="6" t="s">
        <v>21</v>
      </c>
      <c r="I115" s="16" t="s">
        <v>16</v>
      </c>
      <c r="J115" s="13">
        <v>2500</v>
      </c>
      <c r="K115" s="6" t="s">
        <v>27</v>
      </c>
      <c r="L115" s="10"/>
    </row>
    <row r="116" spans="1:12" ht="15.75" customHeight="1">
      <c r="A116" s="4" t="str">
        <f>HYPERLINK("https://www.spj.org/a-hs.asp","Society of Professional Journalists Essay Contest")</f>
        <v>Society of Professional Journalists Essay Contest</v>
      </c>
      <c r="B116" s="15" t="s">
        <v>383</v>
      </c>
      <c r="C116" s="38" t="s">
        <v>384</v>
      </c>
      <c r="D116" s="6"/>
      <c r="E116" s="6"/>
      <c r="F116" s="6"/>
      <c r="G116" s="6" t="s">
        <v>385</v>
      </c>
      <c r="H116" s="6"/>
      <c r="I116" s="16"/>
      <c r="J116" s="8" t="s">
        <v>386</v>
      </c>
      <c r="K116" s="6" t="s">
        <v>17</v>
      </c>
      <c r="L116" s="10"/>
    </row>
    <row r="117" spans="1:12" ht="15.75" customHeight="1">
      <c r="A117" s="4" t="str">
        <f>HYPERLINK("http://sparxlorenzoantonio.org/","Sparx &amp; Lorenzo Antonio: APS and Albuquerque ENLACE Public High School Students")</f>
        <v>Sparx &amp; Lorenzo Antonio: APS and Albuquerque ENLACE Public High School Students</v>
      </c>
      <c r="B117" s="15" t="s">
        <v>387</v>
      </c>
      <c r="C117" s="37"/>
      <c r="D117" s="6" t="s">
        <v>388</v>
      </c>
      <c r="E117" s="6" t="s">
        <v>59</v>
      </c>
      <c r="F117" s="6" t="s">
        <v>14</v>
      </c>
      <c r="G117" s="6" t="s">
        <v>389</v>
      </c>
      <c r="H117" s="6" t="s">
        <v>76</v>
      </c>
      <c r="I117" s="16"/>
      <c r="J117" s="13">
        <v>1000</v>
      </c>
      <c r="K117" s="6" t="s">
        <v>22</v>
      </c>
      <c r="L117" s="10"/>
    </row>
    <row r="118" spans="1:12" ht="15.75" customHeight="1">
      <c r="A118" s="4" t="str">
        <f>HYPERLINK("http://sparxlorenzoantonio.org/","Sparx &amp; Lorenzo Antonio: New Mexico Public High School Students")</f>
        <v>Sparx &amp; Lorenzo Antonio: New Mexico Public High School Students</v>
      </c>
      <c r="B118" s="15" t="s">
        <v>387</v>
      </c>
      <c r="C118" s="38" t="s">
        <v>390</v>
      </c>
      <c r="D118" s="6" t="s">
        <v>391</v>
      </c>
      <c r="E118" s="6" t="s">
        <v>59</v>
      </c>
      <c r="F118" s="6" t="s">
        <v>14</v>
      </c>
      <c r="G118" s="6" t="s">
        <v>389</v>
      </c>
      <c r="H118" s="6" t="s">
        <v>76</v>
      </c>
      <c r="I118" s="16"/>
      <c r="J118" s="13">
        <v>1000</v>
      </c>
      <c r="K118" s="6" t="s">
        <v>22</v>
      </c>
      <c r="L118" s="10"/>
    </row>
    <row r="119" spans="1:12" ht="15.75" customHeight="1">
      <c r="A119" s="14" t="str">
        <f>HYPERLINK("http://collegepeas.com/scholarshipgreen/","Standout Student College Scholarship from College Peas")</f>
        <v>Standout Student College Scholarship from College Peas</v>
      </c>
      <c r="B119" s="15" t="s">
        <v>392</v>
      </c>
      <c r="C119" s="38" t="s">
        <v>393</v>
      </c>
      <c r="D119" s="6"/>
      <c r="E119" s="6"/>
      <c r="F119" s="6"/>
      <c r="G119" s="6" t="s">
        <v>394</v>
      </c>
      <c r="H119" s="6" t="s">
        <v>50</v>
      </c>
      <c r="I119" s="16"/>
      <c r="J119" s="13">
        <v>400</v>
      </c>
      <c r="K119" s="6"/>
      <c r="L119" s="10"/>
    </row>
    <row r="120" spans="1:12" ht="15.75" customHeight="1">
      <c r="A120" s="4" t="str">
        <f>HYPERLINK("http://us.stop-hunger.org/home/grants.html","Stephen J. Brady Stop Hunger Scholarships")</f>
        <v>Stephen J. Brady Stop Hunger Scholarships</v>
      </c>
      <c r="B120" s="10" t="s">
        <v>395</v>
      </c>
      <c r="C120" s="38" t="s">
        <v>396</v>
      </c>
      <c r="D120" s="7"/>
      <c r="E120" s="7" t="s">
        <v>219</v>
      </c>
      <c r="F120" s="7"/>
      <c r="G120" s="6"/>
      <c r="H120" s="6"/>
      <c r="I120" s="16"/>
      <c r="J120" s="13">
        <v>5000</v>
      </c>
      <c r="K120" s="6" t="s">
        <v>65</v>
      </c>
      <c r="L120" s="10"/>
    </row>
    <row r="121" spans="1:12" ht="15.75" customHeight="1">
      <c r="A121" s="4" t="str">
        <f>HYPERLINK("http://stuckatprom.com/","Stuck at Prom Scholarship Contest")</f>
        <v>Stuck at Prom Scholarship Contest</v>
      </c>
      <c r="B121" s="6" t="s">
        <v>397</v>
      </c>
      <c r="C121" s="38" t="s">
        <v>398</v>
      </c>
      <c r="D121" s="6"/>
      <c r="E121" s="6" t="s">
        <v>147</v>
      </c>
      <c r="F121" s="6"/>
      <c r="G121" s="6"/>
      <c r="H121" s="6"/>
      <c r="I121" s="8"/>
      <c r="J121" s="13" t="s">
        <v>399</v>
      </c>
      <c r="K121" s="6" t="s">
        <v>51</v>
      </c>
      <c r="L121" s="10"/>
    </row>
    <row r="122" spans="1:12" ht="15.75" customHeight="1">
      <c r="A122" s="4" t="str">
        <f>HYPERLINK("https://www.cnm.edu/depts/financial-aid/scholarships/suncat-scholars","Suncat Scholars")</f>
        <v>Suncat Scholars</v>
      </c>
      <c r="B122" s="10" t="s">
        <v>400</v>
      </c>
      <c r="C122" s="10" t="s">
        <v>401</v>
      </c>
      <c r="D122" s="6"/>
      <c r="E122" s="6"/>
      <c r="F122" s="6" t="s">
        <v>34</v>
      </c>
      <c r="G122" s="6"/>
      <c r="H122" s="6"/>
      <c r="I122" s="16"/>
      <c r="J122" s="13" t="s">
        <v>402</v>
      </c>
      <c r="K122" s="6" t="s">
        <v>403</v>
      </c>
      <c r="L122" s="10"/>
    </row>
    <row r="123" spans="1:12" ht="15.75" customHeight="1">
      <c r="A123" s="4" t="str">
        <f>HYPERLINK("http://albuquerquefoundation.org/susie-kubie-symphonic-music-scholarship.aspx","Susie Kubie Symphonic Music Scholarship")</f>
        <v>Susie Kubie Symphonic Music Scholarship</v>
      </c>
      <c r="B123" s="10" t="s">
        <v>404</v>
      </c>
      <c r="C123" s="10" t="s">
        <v>405</v>
      </c>
      <c r="D123" s="6" t="s">
        <v>260</v>
      </c>
      <c r="E123" s="6" t="s">
        <v>59</v>
      </c>
      <c r="F123" s="6" t="s">
        <v>34</v>
      </c>
      <c r="G123" s="6" t="s">
        <v>261</v>
      </c>
      <c r="H123" s="6"/>
      <c r="I123" s="8"/>
      <c r="J123" s="9">
        <v>4000</v>
      </c>
      <c r="K123" s="6" t="s">
        <v>22</v>
      </c>
      <c r="L123" s="10" t="s">
        <v>406</v>
      </c>
    </row>
    <row r="124" spans="1:12" ht="15.75" customHeight="1">
      <c r="A124" s="4" t="str">
        <f>HYPERLINK("http://albuquerquefoundation.org/sussman-miller-educational-assistance-award-program.aspx","Sussman-Miller Educational Assistance Award Program")</f>
        <v>Sussman-Miller Educational Assistance Award Program</v>
      </c>
      <c r="B124" s="12" t="s">
        <v>407</v>
      </c>
      <c r="C124" s="6" t="s">
        <v>408</v>
      </c>
      <c r="D124" s="6"/>
      <c r="E124" s="6" t="s">
        <v>59</v>
      </c>
      <c r="F124" s="6"/>
      <c r="G124" s="6" t="s">
        <v>38</v>
      </c>
      <c r="H124" s="6"/>
      <c r="I124" s="8" t="s">
        <v>16</v>
      </c>
      <c r="J124" s="8" t="s">
        <v>292</v>
      </c>
      <c r="K124" s="6" t="s">
        <v>81</v>
      </c>
      <c r="L124" s="10"/>
    </row>
    <row r="125" spans="1:12" ht="15.75" customHeight="1">
      <c r="A125" s="4" t="str">
        <f>HYPERLINK("https://www.tasseldepot.com/scholarship.html","Tassels 4 Education Annual Scholarship")</f>
        <v>Tassels 4 Education Annual Scholarship</v>
      </c>
      <c r="B125" s="30" t="str">
        <f>HYPERLINK("https://www.tasseldepot.com/scholarship.html","https://www.tasseldepot.com/scholarship.html")</f>
        <v>https://www.tasseldepot.com/scholarship.html</v>
      </c>
      <c r="C125" s="10" t="s">
        <v>409</v>
      </c>
      <c r="D125" s="6"/>
      <c r="E125" s="6"/>
      <c r="F125" s="6" t="s">
        <v>14</v>
      </c>
      <c r="G125" s="7" t="s">
        <v>410</v>
      </c>
      <c r="H125" s="6" t="s">
        <v>76</v>
      </c>
      <c r="I125" s="16"/>
      <c r="J125" s="8" t="s">
        <v>290</v>
      </c>
      <c r="K125" s="6" t="s">
        <v>51</v>
      </c>
      <c r="L125" s="10"/>
    </row>
    <row r="126" spans="1:12" ht="15.75" customHeight="1">
      <c r="A126" s="22" t="str">
        <f>HYPERLINK("http://studentaid.ed.gov/types/grants-scholarships/teach","TEACH (Teacher Education Assistance for College and Higher Education) Grant")</f>
        <v>TEACH (Teacher Education Assistance for College and Higher Education) Grant</v>
      </c>
      <c r="B126" s="6" t="s">
        <v>411</v>
      </c>
      <c r="C126" s="6" t="s">
        <v>412</v>
      </c>
      <c r="D126" s="6"/>
      <c r="E126" s="6" t="s">
        <v>141</v>
      </c>
      <c r="F126" s="6"/>
      <c r="G126" s="6"/>
      <c r="H126" s="6" t="s">
        <v>413</v>
      </c>
      <c r="I126" s="8" t="s">
        <v>16</v>
      </c>
      <c r="J126" s="9">
        <v>16000</v>
      </c>
      <c r="K126" s="6" t="s">
        <v>414</v>
      </c>
      <c r="L126" s="10" t="s">
        <v>415</v>
      </c>
    </row>
    <row r="127" spans="1:12" ht="15.75" customHeight="1">
      <c r="A127" s="18" t="str">
        <f>HYPERLINK("https://www.milestechnologies.com/technology-scholarship/","TEO (Technology Equals Opportunity) Scholarship")</f>
        <v>TEO (Technology Equals Opportunity) Scholarship</v>
      </c>
      <c r="B127" s="27" t="s">
        <v>416</v>
      </c>
      <c r="C127" s="6" t="s">
        <v>417</v>
      </c>
      <c r="D127" s="6"/>
      <c r="E127" s="6" t="s">
        <v>85</v>
      </c>
      <c r="F127" s="6" t="s">
        <v>14</v>
      </c>
      <c r="G127" s="6" t="s">
        <v>418</v>
      </c>
      <c r="H127" s="6"/>
      <c r="I127" s="16"/>
      <c r="J127" s="9">
        <v>3000</v>
      </c>
      <c r="K127" s="6" t="s">
        <v>27</v>
      </c>
      <c r="L127" s="10" t="s">
        <v>419</v>
      </c>
    </row>
    <row r="128" spans="1:12" ht="15.75" customHeight="1">
      <c r="A128" s="4" t="str">
        <f>HYPERLINK("https://www.sandia.gov/m/about/community/education_programs/thunderbird_awards.html","Thunderbird Awards, Sandia National Laboratories")</f>
        <v>Thunderbird Awards, Sandia National Laboratories</v>
      </c>
      <c r="B128" s="39" t="s">
        <v>420</v>
      </c>
      <c r="C128" s="39" t="s">
        <v>421</v>
      </c>
      <c r="D128" s="19" t="s">
        <v>422</v>
      </c>
      <c r="E128" s="19"/>
      <c r="F128" s="19" t="s">
        <v>14</v>
      </c>
      <c r="G128" s="19"/>
      <c r="H128" s="19"/>
      <c r="I128" s="40"/>
      <c r="J128" s="41">
        <v>1500</v>
      </c>
      <c r="K128" s="19"/>
      <c r="L128" s="39"/>
    </row>
    <row r="129" spans="1:12" ht="15.75" customHeight="1">
      <c r="A129" s="18" t="str">
        <f>HYPERLINK("http://lanlfoundation.org/our-work/scholarships","Tribal Business Scholarship")</f>
        <v>Tribal Business Scholarship</v>
      </c>
      <c r="B129" s="10"/>
      <c r="C129" s="6" t="s">
        <v>423</v>
      </c>
      <c r="D129" s="7"/>
      <c r="E129" s="7" t="s">
        <v>424</v>
      </c>
      <c r="F129" s="7"/>
      <c r="G129" s="6"/>
      <c r="H129" s="6" t="s">
        <v>76</v>
      </c>
      <c r="I129" s="16"/>
      <c r="J129" s="13">
        <v>1500</v>
      </c>
      <c r="K129" s="6" t="s">
        <v>27</v>
      </c>
      <c r="L129" s="10" t="s">
        <v>425</v>
      </c>
    </row>
    <row r="130" spans="1:12" ht="15.75" customHeight="1">
      <c r="A130" s="18" t="str">
        <f>HYPERLINK("https://www.scholarships.com/financial-aid/college-scholarships/scholarships-by-type/minority-scholarships/truman-d-picard-scholarship/","Truman D. Picard Scholarship")</f>
        <v>Truman D. Picard Scholarship</v>
      </c>
      <c r="B130" s="10"/>
      <c r="C130" s="6" t="s">
        <v>426</v>
      </c>
      <c r="D130" s="7"/>
      <c r="E130" s="7"/>
      <c r="F130" s="7"/>
      <c r="G130" s="6"/>
      <c r="H130" s="6"/>
      <c r="I130" s="16"/>
      <c r="J130" s="13">
        <v>2500</v>
      </c>
      <c r="K130" s="6" t="s">
        <v>22</v>
      </c>
      <c r="L130" s="10" t="s">
        <v>427</v>
      </c>
    </row>
    <row r="131" spans="1:12" ht="15.75" customHeight="1">
      <c r="A131" s="18" t="str">
        <f>HYPERLINK("http://albuquerquefoundation.org/trythall-family-scholarship-for-excellence-in-continuing-education.aspx","Trythall Family cholarship for Excellence in Continuing Education")</f>
        <v>Trythall Family cholarship for Excellence in Continuing Education</v>
      </c>
      <c r="B131" s="10"/>
      <c r="C131" s="6" t="s">
        <v>428</v>
      </c>
      <c r="D131" s="7"/>
      <c r="E131" s="7" t="s">
        <v>429</v>
      </c>
      <c r="F131" s="7" t="s">
        <v>430</v>
      </c>
      <c r="G131" s="6"/>
      <c r="H131" s="6" t="s">
        <v>160</v>
      </c>
      <c r="I131" s="16"/>
      <c r="J131" s="13" t="s">
        <v>431</v>
      </c>
      <c r="K131" s="6" t="s">
        <v>27</v>
      </c>
      <c r="L131" s="10" t="s">
        <v>432</v>
      </c>
    </row>
    <row r="132" spans="1:12" ht="15.75" customHeight="1">
      <c r="A132" s="4" t="str">
        <f>HYPERLINK("https://www.unigo.com/scholarships/our-scholarships/make-me-laugh-scholarship?utm_source=Unigo+Members&amp;utm_campaign=7523f8f6bb-8.7.17_monthly_scholarship_parent&amp;utm_medium=email&amp;utm_term=0_7902ca422c-7523f8f6bb-175316277","Unigo.com Make Me Laugh Scholarship")</f>
        <v>Unigo.com Make Me Laugh Scholarship</v>
      </c>
      <c r="B132" s="10" t="s">
        <v>433</v>
      </c>
      <c r="C132" s="6" t="s">
        <v>434</v>
      </c>
      <c r="D132" s="7"/>
      <c r="E132" s="7" t="s">
        <v>147</v>
      </c>
      <c r="F132" s="7"/>
      <c r="G132" s="6" t="s">
        <v>435</v>
      </c>
      <c r="H132" s="6"/>
      <c r="I132" s="16"/>
      <c r="J132" s="13">
        <v>1500</v>
      </c>
      <c r="K132" s="6" t="s">
        <v>436</v>
      </c>
      <c r="L132" s="10"/>
    </row>
    <row r="133" spans="1:12" ht="15.75" customHeight="1">
      <c r="A133" s="22" t="str">
        <f>HYPERLINK("https://www.unionplus.org/benefits/money/union-plus-scholarships","Union Plus Scholarship Program")</f>
        <v>Union Plus Scholarship Program</v>
      </c>
      <c r="B133" s="10" t="s">
        <v>437</v>
      </c>
      <c r="C133" s="10" t="s">
        <v>438</v>
      </c>
      <c r="D133" s="6"/>
      <c r="E133" s="6"/>
      <c r="F133" s="6"/>
      <c r="G133" s="6" t="s">
        <v>439</v>
      </c>
      <c r="H133" s="6" t="s">
        <v>21</v>
      </c>
      <c r="I133" s="16" t="s">
        <v>16</v>
      </c>
      <c r="J133" s="8" t="s">
        <v>440</v>
      </c>
      <c r="K133" s="6" t="s">
        <v>120</v>
      </c>
      <c r="L133" s="10"/>
    </row>
    <row r="134" spans="1:12" ht="15.75" customHeight="1">
      <c r="A134" s="4" t="str">
        <f>HYPERLINK("http://unmscholarshipapp.unm.edu/","UNM Regents &amp; Presidential Scholarship")</f>
        <v>UNM Regents &amp; Presidential Scholarship</v>
      </c>
      <c r="B134" s="6" t="s">
        <v>441</v>
      </c>
      <c r="C134" s="10" t="s">
        <v>442</v>
      </c>
      <c r="D134" s="10"/>
      <c r="E134" s="10"/>
      <c r="F134" s="10"/>
      <c r="G134" s="10" t="s">
        <v>443</v>
      </c>
      <c r="H134" s="10" t="s">
        <v>444</v>
      </c>
      <c r="I134" s="8"/>
      <c r="J134" s="9">
        <v>19000</v>
      </c>
      <c r="K134" s="6" t="s">
        <v>138</v>
      </c>
      <c r="L134" s="10"/>
    </row>
    <row r="135" spans="1:12" ht="15.75" customHeight="1">
      <c r="A135" s="4" t="str">
        <f>HYPERLINK("https://www.useagle.org/learn/scholarships/2018-scholarship-opportunities","US Eagle Federal Credit Union")</f>
        <v>US Eagle Federal Credit Union</v>
      </c>
      <c r="B135" s="10" t="s">
        <v>445</v>
      </c>
      <c r="C135" s="10" t="s">
        <v>446</v>
      </c>
      <c r="D135" s="6"/>
      <c r="E135" s="6"/>
      <c r="F135" s="6" t="s">
        <v>14</v>
      </c>
      <c r="G135" s="7" t="s">
        <v>447</v>
      </c>
      <c r="H135" s="6"/>
      <c r="I135" s="16"/>
      <c r="J135" s="13">
        <v>2000</v>
      </c>
      <c r="K135" s="6" t="s">
        <v>22</v>
      </c>
      <c r="L135" s="10" t="s">
        <v>448</v>
      </c>
    </row>
    <row r="136" spans="1:12" ht="15.75" customHeight="1">
      <c r="A136" s="4" t="str">
        <f>HYPERLINK("http://www.waceinc.org/scholarship/index.html","WACE National Co-op Scholarship Program")</f>
        <v>WACE National Co-op Scholarship Program</v>
      </c>
      <c r="B136" s="15" t="s">
        <v>449</v>
      </c>
      <c r="C136" s="10" t="s">
        <v>450</v>
      </c>
      <c r="D136" s="6"/>
      <c r="E136" s="6"/>
      <c r="F136" s="6" t="s">
        <v>34</v>
      </c>
      <c r="G136" s="7" t="s">
        <v>451</v>
      </c>
      <c r="H136" s="6" t="s">
        <v>131</v>
      </c>
      <c r="I136" s="16"/>
      <c r="J136" s="8" t="s">
        <v>452</v>
      </c>
      <c r="K136" s="6" t="s">
        <v>453</v>
      </c>
      <c r="L136" s="10" t="s">
        <v>454</v>
      </c>
    </row>
    <row r="137" spans="1:12" ht="15.75" customHeight="1">
      <c r="A137" s="4" t="str">
        <f>HYPERLINK("https://www.wendyshighschoolheisman.com/application/are-you-eligible/","Wendy's High School Heisman")</f>
        <v>Wendy's High School Heisman</v>
      </c>
      <c r="B137" s="10" t="s">
        <v>455</v>
      </c>
      <c r="C137" s="10" t="s">
        <v>456</v>
      </c>
      <c r="D137" s="10"/>
      <c r="E137" s="10"/>
      <c r="F137" s="10" t="s">
        <v>14</v>
      </c>
      <c r="G137" s="10"/>
      <c r="H137" s="10" t="s">
        <v>21</v>
      </c>
      <c r="I137" s="16"/>
      <c r="J137" s="8" t="s">
        <v>457</v>
      </c>
      <c r="K137" s="10" t="s">
        <v>31</v>
      </c>
      <c r="L137" s="10" t="s">
        <v>448</v>
      </c>
    </row>
    <row r="138" spans="1:12" ht="15.75" customHeight="1">
      <c r="A138" s="4" t="str">
        <f>HYPERLINK("http://www.wesleyan.edu/admission/apply/hamiltonprize.html","Wesleyan University Hamilton Prize for Creativity")</f>
        <v>Wesleyan University Hamilton Prize for Creativity</v>
      </c>
      <c r="B138" s="15" t="s">
        <v>458</v>
      </c>
      <c r="C138" s="6" t="s">
        <v>459</v>
      </c>
      <c r="D138" s="6"/>
      <c r="E138" s="6"/>
      <c r="F138" s="6" t="s">
        <v>460</v>
      </c>
      <c r="G138" s="6" t="s">
        <v>461</v>
      </c>
      <c r="H138" s="6" t="s">
        <v>21</v>
      </c>
      <c r="I138" s="16"/>
      <c r="J138" s="8" t="s">
        <v>240</v>
      </c>
      <c r="K138" s="6" t="s">
        <v>65</v>
      </c>
      <c r="L138" s="10" t="s">
        <v>448</v>
      </c>
    </row>
    <row r="139" spans="1:12" ht="15.75" customHeight="1">
      <c r="A139" s="4" t="str">
        <f>HYPERLINK("http://albuquerquefoundation.org/the-women-in-rhetoric-and-logic-scholarship.aspx","Women in Rhetoric and Logic Scholarship")</f>
        <v>Women in Rhetoric and Logic Scholarship</v>
      </c>
      <c r="B139" s="10" t="s">
        <v>462</v>
      </c>
      <c r="C139" s="10" t="s">
        <v>463</v>
      </c>
      <c r="D139" s="6" t="s">
        <v>464</v>
      </c>
      <c r="E139" s="6" t="s">
        <v>59</v>
      </c>
      <c r="F139" s="6" t="s">
        <v>14</v>
      </c>
      <c r="G139" s="6" t="s">
        <v>261</v>
      </c>
      <c r="H139" s="6"/>
      <c r="I139" s="8"/>
      <c r="J139" s="9">
        <v>3000</v>
      </c>
      <c r="K139" s="6" t="s">
        <v>22</v>
      </c>
      <c r="L139" s="10"/>
    </row>
    <row r="140" spans="1:12" ht="15.75" customHeight="1">
      <c r="A140" s="4" t="str">
        <f>HYPERLINK("http://albuquerquefoundation.org/woodcock-family-education-scholarship-program.aspx","Woodcock Family Education Scholarship Program")</f>
        <v>Woodcock Family Education Scholarship Program</v>
      </c>
      <c r="B140" s="10" t="s">
        <v>465</v>
      </c>
      <c r="C140" s="6" t="s">
        <v>466</v>
      </c>
      <c r="D140" s="6" t="s">
        <v>260</v>
      </c>
      <c r="E140" s="6"/>
      <c r="F140" s="6" t="s">
        <v>14</v>
      </c>
      <c r="G140" s="6" t="s">
        <v>467</v>
      </c>
      <c r="H140" s="6" t="s">
        <v>468</v>
      </c>
      <c r="I140" s="8"/>
      <c r="J140" s="42">
        <v>10000</v>
      </c>
      <c r="K140" s="6" t="s">
        <v>22</v>
      </c>
      <c r="L140" s="10" t="s">
        <v>469</v>
      </c>
    </row>
    <row r="141" spans="1:12" ht="15.75" customHeight="1">
      <c r="A141" s="4" t="str">
        <f>HYPERLINK("https://scholarshipowl.com/awards/you-deserve-it-scholarship?transaction_id=10268c9c1fe7c0271f25f0202de48d&amp;offer_id=24&amp;affiliate_id=1085&amp;aff_sub=&amp;aff_sub2=&amp;aff_sub3=&amp;aff_sub4=&amp;aff_sub5=","You Deserve It Scholarship Sweepstakes")</f>
        <v>You Deserve It Scholarship Sweepstakes</v>
      </c>
      <c r="B141" s="10" t="s">
        <v>470</v>
      </c>
      <c r="C141" s="10" t="s">
        <v>471</v>
      </c>
      <c r="D141" s="6"/>
      <c r="E141" s="6" t="s">
        <v>147</v>
      </c>
      <c r="F141" s="6"/>
      <c r="G141" s="6"/>
      <c r="H141" s="6"/>
      <c r="I141" s="16"/>
      <c r="J141" s="13">
        <v>1000</v>
      </c>
      <c r="K141" s="6" t="s">
        <v>138</v>
      </c>
      <c r="L141" s="10"/>
    </row>
    <row r="142" spans="1:12" ht="15.75" customHeight="1">
      <c r="A142" s="4" t="str">
        <f>HYPERLINK("http://albuquerquefoundation.org/youth-in-foster-care-scholarship-program.aspx","Youth in Foster Care Scholarship")</f>
        <v>Youth in Foster Care Scholarship</v>
      </c>
      <c r="B142" s="10" t="s">
        <v>472</v>
      </c>
      <c r="C142" s="6" t="s">
        <v>473</v>
      </c>
      <c r="D142" s="6"/>
      <c r="E142" s="6" t="s">
        <v>59</v>
      </c>
      <c r="F142" s="6" t="s">
        <v>14</v>
      </c>
      <c r="G142" s="6"/>
      <c r="H142" s="6" t="s">
        <v>170</v>
      </c>
      <c r="I142" s="8"/>
      <c r="J142" s="9">
        <v>1000</v>
      </c>
      <c r="K142" s="6" t="s">
        <v>81</v>
      </c>
      <c r="L142" s="10"/>
    </row>
  </sheetData>
  <hyperlinks>
    <hyperlink ref="B3" r:id="rId1"/>
    <hyperlink ref="B5" r:id="rId2"/>
    <hyperlink ref="B7" r:id="rId3"/>
    <hyperlink ref="B21" r:id="rId4"/>
    <hyperlink ref="B24" r:id="rId5"/>
    <hyperlink ref="B28" r:id="rId6"/>
    <hyperlink ref="B35" r:id="rId7"/>
    <hyperlink ref="B36" r:id="rId8"/>
    <hyperlink ref="B37" r:id="rId9"/>
    <hyperlink ref="B40" r:id="rId10"/>
    <hyperlink ref="B41" r:id="rId11"/>
    <hyperlink ref="B51" r:id="rId12"/>
    <hyperlink ref="B55" r:id="rId13"/>
    <hyperlink ref="B56" r:id="rId14"/>
    <hyperlink ref="B59" r:id="rId15"/>
    <hyperlink ref="B66" r:id="rId16"/>
    <hyperlink ref="B75" r:id="rId17"/>
    <hyperlink ref="B81" r:id="rId18"/>
    <hyperlink ref="B82" r:id="rId19"/>
    <hyperlink ref="B83" r:id="rId20"/>
    <hyperlink ref="B85" r:id="rId21"/>
    <hyperlink ref="B86" r:id="rId22"/>
    <hyperlink ref="B89" r:id="rId23"/>
    <hyperlink ref="B93" r:id="rId24"/>
    <hyperlink ref="B95" r:id="rId25"/>
    <hyperlink ref="B99" r:id="rId26"/>
    <hyperlink ref="B100" r:id="rId27"/>
    <hyperlink ref="B124" r:id="rId28"/>
    <hyperlink ref="B127" r:id="rId29"/>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Scholarships</vt:lpstr>
      <vt:lpstr>Scholarship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 Beegle</dc:creator>
  <cp:lastModifiedBy>Melanie R. Beegle</cp:lastModifiedBy>
  <dcterms:created xsi:type="dcterms:W3CDTF">2019-07-08T23:50:14Z</dcterms:created>
  <dcterms:modified xsi:type="dcterms:W3CDTF">2019-07-09T22:04:49Z</dcterms:modified>
</cp:coreProperties>
</file>